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drawings/drawing15.xml" ContentType="application/vnd.openxmlformats-officedocument.drawing+xml"/>
  <Override PartName="/xl/comments9.xml" ContentType="application/vnd.openxmlformats-officedocument.spreadsheetml.comments+xml"/>
  <Override PartName="/xl/drawings/drawing16.xml" ContentType="application/vnd.openxmlformats-officedocument.drawing+xml"/>
  <Override PartName="/xl/comments10.xml" ContentType="application/vnd.openxmlformats-officedocument.spreadsheetml.comments+xml"/>
  <Override PartName="/xl/drawings/drawing17.xml" ContentType="application/vnd.openxmlformats-officedocument.drawing+xml"/>
  <Override PartName="/xl/comments11.xml" ContentType="application/vnd.openxmlformats-officedocument.spreadsheetml.comments+xml"/>
  <Override PartName="/xl/drawings/drawing18.xml" ContentType="application/vnd.openxmlformats-officedocument.drawing+xml"/>
  <Override PartName="/xl/comments12.xml" ContentType="application/vnd.openxmlformats-officedocument.spreadsheetml.comments+xml"/>
  <Override PartName="/xl/drawings/drawing19.xml" ContentType="application/vnd.openxmlformats-officedocument.drawing+xml"/>
  <Override PartName="/xl/tables/table1.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19200" windowHeight="6945" tabRatio="955"/>
  </bookViews>
  <sheets>
    <sheet name="INSTRUCTIONS" sheetId="19" r:id="rId1"/>
    <sheet name="Stock Ideas" sheetId="30" r:id="rId2"/>
    <sheet name="summary" sheetId="20" r:id="rId3"/>
    <sheet name="2-minute test" sheetId="22" r:id="rId4"/>
    <sheet name="Balance sheet Flow chart" sheetId="32" r:id="rId5"/>
    <sheet name="Balance Sheet" sheetId="2" r:id="rId6"/>
    <sheet name="balance sheet CFA" sheetId="29" r:id="rId7"/>
    <sheet name="Financial Health" sheetId="23" r:id="rId8"/>
    <sheet name="Income statement" sheetId="28" r:id="rId9"/>
    <sheet name="Income statement CFA" sheetId="13" r:id="rId10"/>
    <sheet name="Growth" sheetId="27" r:id="rId11"/>
    <sheet name="Cash Flow" sheetId="4" r:id="rId12"/>
    <sheet name="Profitability" sheetId="24" r:id="rId13"/>
    <sheet name="Relative valuation" sheetId="25" r:id="rId14"/>
    <sheet name="CB_DATA_" sheetId="33" state="veryHidden" r:id="rId15"/>
    <sheet name="DCF" sheetId="11" r:id="rId16"/>
    <sheet name="Dhandho " sheetId="9" r:id="rId17"/>
    <sheet name="Total Returns" sheetId="12" r:id="rId18"/>
    <sheet name="Intrinsic Values" sheetId="10" r:id="rId19"/>
    <sheet name="Quarters" sheetId="3" r:id="rId20"/>
    <sheet name="post analysis checklist" sheetId="26" r:id="rId21"/>
    <sheet name="Data Sheet" sheetId="6" r:id="rId22"/>
    <sheet name="Customization" sheetId="5" r:id="rId23"/>
  </sheets>
  <externalReferences>
    <externalReference r:id="rId24"/>
  </externalReferences>
  <definedNames>
    <definedName name="cash">'Cash Flow'!$AZ$17:$AZ$19</definedName>
    <definedName name="cashflow">'Cash Flow'!$AZ$22:$AZ$25</definedName>
    <definedName name="CB_ad8c1d9485604e068dd7c77c97b5e9f7" localSheetId="15" hidden="1">DCF!$G$20</definedName>
    <definedName name="CB_Block_00000000000000000000000000000000" localSheetId="15" hidden="1">"'7.0.0.0"</definedName>
    <definedName name="CB_Block_00000000000000000000000000000001" localSheetId="14" hidden="1">"'637288209803865690"</definedName>
    <definedName name="CB_Block_00000000000000000000000000000001" localSheetId="15" hidden="1">"'637288209803865690"</definedName>
    <definedName name="CB_Block_00000000000000000000000000000003" localSheetId="15" hidden="1">"'11.1.3419.0"</definedName>
    <definedName name="CB_BlockExt_00000000000000000000000000000003" localSheetId="15" hidden="1">"'11.1.2.3.000"</definedName>
    <definedName name="CBWorkbookPriority" localSheetId="14" hidden="1">-1748867739</definedName>
    <definedName name="CBx_a0150b87571a4699a01450e89f101043" localSheetId="14" hidden="1">"'CB_DATA_'!$A$1"</definedName>
    <definedName name="CBx_f332f657e95449ee9b7844f892e8e3a6" localSheetId="14" hidden="1">"'DCF'!$A$1"</definedName>
    <definedName name="CBx_Sheet_Guid" localSheetId="14" hidden="1">"'a0150b87-571a-4699-a014-50e89f101043"</definedName>
    <definedName name="CBx_Sheet_Guid" localSheetId="15" hidden="1">"'f332f657-e954-49ee-9b78-44f892e8e3a6"</definedName>
    <definedName name="CBx_SheetRef" localSheetId="14" hidden="1">CB_DATA_!$A$14</definedName>
    <definedName name="CBx_SheetRef" localSheetId="15" hidden="1">CB_DATA_!$B$14</definedName>
    <definedName name="CBx_StorageType" localSheetId="14" hidden="1">2</definedName>
    <definedName name="CBx_StorageType" localSheetId="15" hidden="1">2</definedName>
    <definedName name="COMPANY">Profitability!$AW$45:$AW$48</definedName>
    <definedName name="Consistent">'Cash Flow'!$AZ$27:$AZ$28</definedName>
    <definedName name="CYCLICAL">'2-minute test'!$AY$19:$AY$21</definedName>
    <definedName name="DEBTLEVEL">'2-minute test'!$BF$8:$BF$13</definedName>
    <definedName name="GREAT">Profitability!$AM$15:$AM$18</definedName>
    <definedName name="GROWTHLIST">'2-minute test'!$AX$25:$AX$27</definedName>
    <definedName name="GROWTHRATE">'2-minute test'!$BF$17:$BF$18</definedName>
    <definedName name="LOT">'2-minute test'!$AY$16:$AY$18</definedName>
    <definedName name="pass">'2-minute test'!$P$2:$P$3</definedName>
    <definedName name="STABILITY">'2-minute test'!$BF$17:$BF$18</definedName>
    <definedName name="UNDERSTAND">'2-minute test'!$BE$23:$BE$24</definedName>
    <definedName name="UPDATE">'Data Sheet'!$E$1</definedName>
    <definedName name="YES">[1]DCF!$W$7:$W$8</definedName>
  </definedNames>
  <calcPr calcId="144525"/>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 i="27" l="1"/>
  <c r="W19" i="28"/>
  <c r="J1" i="23"/>
  <c r="B16" i="29"/>
  <c r="A1" i="22"/>
  <c r="T53" i="11" l="1"/>
  <c r="O34" i="11"/>
  <c r="O35" i="11"/>
  <c r="O36" i="11"/>
  <c r="O37" i="11"/>
  <c r="O38" i="11"/>
  <c r="O39" i="11"/>
  <c r="O40" i="11"/>
  <c r="O41" i="11"/>
  <c r="O42" i="11"/>
  <c r="O43" i="11"/>
  <c r="O33" i="11"/>
  <c r="Q43" i="11"/>
  <c r="Q42" i="11"/>
  <c r="Q41" i="11"/>
  <c r="Q40" i="11"/>
  <c r="Q39" i="11"/>
  <c r="Q38" i="11"/>
  <c r="Q37" i="11"/>
  <c r="Q36" i="11"/>
  <c r="Q35" i="11"/>
  <c r="Q34" i="11"/>
  <c r="Q33" i="11"/>
  <c r="Q32" i="11"/>
  <c r="F33" i="11" l="1"/>
  <c r="F34" i="11"/>
  <c r="F35" i="11"/>
  <c r="F36" i="11"/>
  <c r="F37" i="11"/>
  <c r="F38" i="11"/>
  <c r="F39" i="11"/>
  <c r="F40" i="11"/>
  <c r="F41" i="11"/>
  <c r="F42" i="11"/>
  <c r="F43" i="11"/>
  <c r="F32" i="11"/>
  <c r="B71" i="11" l="1"/>
  <c r="B70" i="11"/>
  <c r="B69" i="11"/>
  <c r="L19" i="10" l="1"/>
  <c r="J7" i="10"/>
  <c r="L7" i="10"/>
  <c r="K7" i="10"/>
  <c r="AL5" i="10"/>
  <c r="A2" i="10"/>
  <c r="B11" i="33" l="1"/>
  <c r="A11" i="33"/>
  <c r="D44" i="11"/>
  <c r="B9" i="11" s="1"/>
  <c r="B43" i="11" l="1"/>
  <c r="D43" i="11" l="1"/>
  <c r="C23" i="11" s="1"/>
  <c r="C43" i="11"/>
  <c r="H43" i="11" s="1"/>
  <c r="K15" i="29" l="1"/>
  <c r="J15" i="29"/>
  <c r="I15" i="29"/>
  <c r="H15" i="29"/>
  <c r="G15" i="29"/>
  <c r="F15" i="29"/>
  <c r="E15" i="29"/>
  <c r="D15" i="29"/>
  <c r="C15" i="29"/>
  <c r="B15" i="29"/>
  <c r="K14" i="29"/>
  <c r="J14" i="29"/>
  <c r="I14" i="29"/>
  <c r="H14" i="29"/>
  <c r="G14" i="29"/>
  <c r="F14" i="29"/>
  <c r="E14" i="29"/>
  <c r="D14" i="29"/>
  <c r="C14" i="29"/>
  <c r="B14" i="29"/>
  <c r="K13" i="29"/>
  <c r="J13" i="29"/>
  <c r="I13" i="29"/>
  <c r="H13" i="29"/>
  <c r="G13" i="29"/>
  <c r="F13" i="29"/>
  <c r="E13" i="29"/>
  <c r="D13" i="29"/>
  <c r="C13" i="29"/>
  <c r="B13" i="29"/>
  <c r="O12" i="29"/>
  <c r="N12" i="29"/>
  <c r="M12" i="29"/>
  <c r="K11" i="29"/>
  <c r="J11" i="29"/>
  <c r="I11" i="29"/>
  <c r="H11" i="29"/>
  <c r="G11" i="29"/>
  <c r="F11" i="29"/>
  <c r="E11" i="29"/>
  <c r="D11" i="29"/>
  <c r="C11" i="29"/>
  <c r="B11" i="29"/>
  <c r="K10" i="29"/>
  <c r="J10" i="29"/>
  <c r="I10" i="29"/>
  <c r="H10" i="29"/>
  <c r="G10" i="29"/>
  <c r="F10" i="29"/>
  <c r="E10" i="29"/>
  <c r="D10" i="29"/>
  <c r="C10" i="29"/>
  <c r="B10" i="29"/>
  <c r="K9" i="29"/>
  <c r="J9" i="29"/>
  <c r="I9" i="29"/>
  <c r="H9" i="29"/>
  <c r="G9" i="29"/>
  <c r="F9" i="29"/>
  <c r="E9" i="29"/>
  <c r="D9" i="29"/>
  <c r="C9" i="29"/>
  <c r="B9" i="29"/>
  <c r="K8" i="29"/>
  <c r="J8" i="29"/>
  <c r="I8" i="29"/>
  <c r="H8" i="29"/>
  <c r="G8" i="29"/>
  <c r="F8" i="29"/>
  <c r="E8" i="29"/>
  <c r="D8" i="29"/>
  <c r="C8" i="29"/>
  <c r="B8" i="29"/>
  <c r="O7" i="29"/>
  <c r="N7" i="29"/>
  <c r="M7" i="29"/>
  <c r="K6" i="29"/>
  <c r="J6" i="29"/>
  <c r="I6" i="29"/>
  <c r="H6" i="29"/>
  <c r="G6" i="29"/>
  <c r="F6" i="29"/>
  <c r="E6" i="29"/>
  <c r="D6" i="29"/>
  <c r="C6" i="29"/>
  <c r="B6" i="29"/>
  <c r="K5" i="29"/>
  <c r="J5" i="29"/>
  <c r="I5" i="29"/>
  <c r="H5" i="29"/>
  <c r="G5" i="29"/>
  <c r="F5" i="29"/>
  <c r="E5" i="29"/>
  <c r="D5" i="29"/>
  <c r="C5" i="29"/>
  <c r="B5" i="29"/>
  <c r="K4" i="29"/>
  <c r="J4" i="29"/>
  <c r="I4" i="29"/>
  <c r="H4" i="29"/>
  <c r="G4" i="29"/>
  <c r="F4" i="29"/>
  <c r="E4" i="29"/>
  <c r="D4" i="29"/>
  <c r="C4" i="29"/>
  <c r="B4" i="29"/>
  <c r="K3" i="29"/>
  <c r="J3" i="29"/>
  <c r="I3" i="29"/>
  <c r="H3" i="29"/>
  <c r="G3" i="29"/>
  <c r="F3" i="29"/>
  <c r="E3" i="29"/>
  <c r="D3" i="29"/>
  <c r="C3" i="29"/>
  <c r="B3" i="29"/>
  <c r="M15" i="29" l="1"/>
  <c r="O14" i="29"/>
  <c r="M14" i="29"/>
  <c r="O15" i="29"/>
  <c r="O11" i="29"/>
  <c r="N4" i="29"/>
  <c r="N9" i="29"/>
  <c r="M13" i="29"/>
  <c r="N3" i="29"/>
  <c r="O5" i="29"/>
  <c r="N8" i="29"/>
  <c r="N13" i="29"/>
  <c r="M4" i="29"/>
  <c r="N5" i="29"/>
  <c r="O6" i="29"/>
  <c r="N10" i="29"/>
  <c r="O13" i="29"/>
  <c r="N6" i="29"/>
  <c r="O8" i="29"/>
  <c r="M10" i="29"/>
  <c r="N11" i="29"/>
  <c r="O3" i="29"/>
  <c r="M5" i="29"/>
  <c r="M11" i="29"/>
  <c r="M8" i="29"/>
  <c r="O10" i="29"/>
  <c r="M9" i="29"/>
  <c r="N14" i="29"/>
  <c r="O9" i="29"/>
  <c r="O4" i="29"/>
  <c r="M6" i="29"/>
  <c r="M3" i="29"/>
  <c r="N15" i="29"/>
  <c r="A1" i="3"/>
  <c r="AE10" i="27" l="1"/>
  <c r="AE6" i="27"/>
  <c r="AE5" i="27"/>
  <c r="AE4" i="27"/>
  <c r="AE3" i="27"/>
  <c r="N7" i="22" l="1"/>
  <c r="O7" i="22"/>
  <c r="P7" i="22"/>
  <c r="Q7" i="22"/>
  <c r="R7" i="22"/>
  <c r="S7" i="22"/>
  <c r="T7" i="22"/>
  <c r="U7" i="22"/>
  <c r="V7" i="22"/>
  <c r="M7" i="22"/>
  <c r="B18" i="20" l="1"/>
  <c r="P29" i="22" l="1"/>
  <c r="Q29" i="22"/>
  <c r="R29" i="22"/>
  <c r="S29" i="22"/>
  <c r="T29" i="22"/>
  <c r="U29" i="22"/>
  <c r="V29" i="22"/>
  <c r="W29" i="22"/>
  <c r="X29" i="22"/>
  <c r="O29" i="22"/>
  <c r="X30" i="22"/>
  <c r="X31" i="22"/>
  <c r="X28" i="22" l="1"/>
  <c r="N28" i="22"/>
  <c r="D20" i="9"/>
  <c r="L20" i="9" s="1"/>
  <c r="D9" i="23"/>
  <c r="L21" i="28"/>
  <c r="C22" i="28"/>
  <c r="AG10" i="27" s="1"/>
  <c r="D22" i="28"/>
  <c r="AH10" i="27" s="1"/>
  <c r="E22" i="28"/>
  <c r="AI10" i="27" s="1"/>
  <c r="F22" i="28"/>
  <c r="AJ10" i="27" s="1"/>
  <c r="G22" i="28"/>
  <c r="AK10" i="27" s="1"/>
  <c r="H22" i="28"/>
  <c r="AL10" i="27" s="1"/>
  <c r="I22" i="28"/>
  <c r="AM10" i="27" s="1"/>
  <c r="J22" i="28"/>
  <c r="AN10" i="27" s="1"/>
  <c r="K22" i="28"/>
  <c r="B22" i="28"/>
  <c r="AF10" i="27" s="1"/>
  <c r="C21" i="28"/>
  <c r="D21" i="28"/>
  <c r="E21" i="28"/>
  <c r="F21" i="28"/>
  <c r="G21" i="28"/>
  <c r="H21" i="28"/>
  <c r="I21" i="28"/>
  <c r="J21" i="28"/>
  <c r="K21" i="28"/>
  <c r="B21" i="28"/>
  <c r="C11" i="28"/>
  <c r="D11" i="28"/>
  <c r="E11" i="28"/>
  <c r="F11" i="28"/>
  <c r="G11" i="28"/>
  <c r="H11" i="28"/>
  <c r="I11" i="28"/>
  <c r="J11" i="28"/>
  <c r="K11" i="28"/>
  <c r="B11" i="28"/>
  <c r="C16" i="28"/>
  <c r="AG4" i="27" s="1"/>
  <c r="D16" i="28"/>
  <c r="J25" i="4" s="1"/>
  <c r="E16" i="28"/>
  <c r="F16" i="28"/>
  <c r="AJ4" i="27" s="1"/>
  <c r="G16" i="28"/>
  <c r="AK4" i="27" s="1"/>
  <c r="H16" i="28"/>
  <c r="J21" i="4" s="1"/>
  <c r="I16" i="28"/>
  <c r="AM4" i="27" s="1"/>
  <c r="J16" i="28"/>
  <c r="AN4" i="27" s="1"/>
  <c r="K16" i="28"/>
  <c r="AO4" i="27" s="1"/>
  <c r="B16" i="28"/>
  <c r="AF4" i="27" s="1"/>
  <c r="C15" i="28"/>
  <c r="D15" i="28"/>
  <c r="E15" i="28"/>
  <c r="F15" i="28"/>
  <c r="G15" i="28"/>
  <c r="H15" i="28"/>
  <c r="I15" i="28"/>
  <c r="J15" i="28"/>
  <c r="K15" i="28"/>
  <c r="B15" i="28"/>
  <c r="C13" i="28"/>
  <c r="D13" i="28"/>
  <c r="E13" i="28"/>
  <c r="F13" i="28"/>
  <c r="G13" i="28"/>
  <c r="H13" i="28"/>
  <c r="I13" i="28"/>
  <c r="J13" i="28"/>
  <c r="K13" i="28"/>
  <c r="B13" i="28"/>
  <c r="C12" i="28"/>
  <c r="D12" i="28"/>
  <c r="E12" i="28"/>
  <c r="F12" i="28"/>
  <c r="G12" i="28"/>
  <c r="H12" i="28"/>
  <c r="I12" i="28"/>
  <c r="J12" i="28"/>
  <c r="K12" i="28"/>
  <c r="B12" i="28"/>
  <c r="C10" i="28"/>
  <c r="N8" i="22" s="1"/>
  <c r="D10" i="28"/>
  <c r="O8" i="22" s="1"/>
  <c r="E10" i="28"/>
  <c r="P8" i="22" s="1"/>
  <c r="F10" i="28"/>
  <c r="Q8" i="22" s="1"/>
  <c r="G10" i="28"/>
  <c r="R8" i="22" s="1"/>
  <c r="H10" i="28"/>
  <c r="S8" i="22" s="1"/>
  <c r="I10" i="28"/>
  <c r="T8" i="22" s="1"/>
  <c r="J10" i="28"/>
  <c r="U8" i="22" s="1"/>
  <c r="K10" i="28"/>
  <c r="V8" i="22" s="1"/>
  <c r="B10" i="28"/>
  <c r="M8" i="22" s="1"/>
  <c r="C9" i="28"/>
  <c r="AG6" i="27" s="1"/>
  <c r="D9" i="28"/>
  <c r="E9" i="28"/>
  <c r="AI6" i="27" s="1"/>
  <c r="F9" i="28"/>
  <c r="AJ6" i="27" s="1"/>
  <c r="G9" i="28"/>
  <c r="AK6" i="27" s="1"/>
  <c r="H9" i="28"/>
  <c r="I9" i="28"/>
  <c r="AM6" i="27" s="1"/>
  <c r="J9" i="28"/>
  <c r="AN6" i="27" s="1"/>
  <c r="K9" i="28"/>
  <c r="AO6" i="27" s="1"/>
  <c r="B9" i="28"/>
  <c r="AF6" i="27" s="1"/>
  <c r="C8" i="28"/>
  <c r="D8" i="28"/>
  <c r="E8" i="28"/>
  <c r="F8" i="28"/>
  <c r="G8" i="28"/>
  <c r="H8" i="28"/>
  <c r="I8" i="28"/>
  <c r="J8" i="28"/>
  <c r="K8" i="28"/>
  <c r="B8" i="28"/>
  <c r="H33" i="11" l="1"/>
  <c r="C33" i="11"/>
  <c r="AO10" i="27"/>
  <c r="C15" i="23"/>
  <c r="J24" i="4"/>
  <c r="J20" i="4"/>
  <c r="E15" i="23"/>
  <c r="I15" i="23"/>
  <c r="I12" i="27"/>
  <c r="F14" i="9" s="1"/>
  <c r="I13" i="27"/>
  <c r="R15" i="22" s="1"/>
  <c r="AL4" i="27"/>
  <c r="AH4" i="27"/>
  <c r="AL6" i="27"/>
  <c r="AH6" i="27"/>
  <c r="J27" i="4"/>
  <c r="J23" i="4"/>
  <c r="J19" i="4"/>
  <c r="F15" i="23"/>
  <c r="J15" i="23"/>
  <c r="J12" i="27"/>
  <c r="J13" i="27"/>
  <c r="T15" i="22" s="1"/>
  <c r="J26" i="4"/>
  <c r="J22" i="4"/>
  <c r="J18" i="4"/>
  <c r="G15" i="23"/>
  <c r="K15" i="23"/>
  <c r="K12" i="27"/>
  <c r="B17" i="20" s="1"/>
  <c r="K13" i="27"/>
  <c r="V15" i="22" s="1"/>
  <c r="D15" i="23"/>
  <c r="H15" i="23"/>
  <c r="L15" i="23"/>
  <c r="H12" i="27"/>
  <c r="H13" i="27"/>
  <c r="P15" i="22" s="1"/>
  <c r="AI4" i="27"/>
  <c r="K14" i="28"/>
  <c r="G14" i="28"/>
  <c r="H14" i="28"/>
  <c r="D14" i="28"/>
  <c r="H17" i="28"/>
  <c r="S14" i="22" s="1"/>
  <c r="D17" i="28"/>
  <c r="O14" i="22" s="1"/>
  <c r="J14" i="28"/>
  <c r="J24" i="28"/>
  <c r="F17" i="28"/>
  <c r="Q14" i="22" s="1"/>
  <c r="I24" i="28"/>
  <c r="E24" i="28"/>
  <c r="B24" i="28"/>
  <c r="H24" i="28"/>
  <c r="D24" i="28"/>
  <c r="K24" i="28"/>
  <c r="G24" i="28"/>
  <c r="C24" i="28"/>
  <c r="F24" i="28"/>
  <c r="F14" i="28"/>
  <c r="C14" i="28"/>
  <c r="K17" i="28"/>
  <c r="V14" i="22" s="1"/>
  <c r="I14" i="28"/>
  <c r="E14" i="28"/>
  <c r="I17" i="28"/>
  <c r="T14" i="22" s="1"/>
  <c r="E17" i="28"/>
  <c r="P14" i="22" s="1"/>
  <c r="C17" i="28"/>
  <c r="N14" i="22" s="1"/>
  <c r="G17" i="28"/>
  <c r="R14" i="22" s="1"/>
  <c r="J17" i="28"/>
  <c r="U14" i="22" s="1"/>
  <c r="C35" i="11" l="1"/>
  <c r="H35" i="11" s="1"/>
  <c r="C38" i="11"/>
  <c r="H38" i="11" s="1"/>
  <c r="C36" i="11"/>
  <c r="H36" i="11" s="1"/>
  <c r="C34" i="11"/>
  <c r="H34" i="11" s="1"/>
  <c r="C37" i="11"/>
  <c r="H37" i="11" s="1"/>
  <c r="C34" i="28"/>
  <c r="D34" i="28"/>
  <c r="E34" i="28"/>
  <c r="F34" i="28"/>
  <c r="G34" i="28"/>
  <c r="H34" i="28"/>
  <c r="I34" i="28"/>
  <c r="J34" i="28"/>
  <c r="K34" i="28"/>
  <c r="B34" i="28"/>
  <c r="C33" i="28"/>
  <c r="D33" i="28"/>
  <c r="E33" i="28"/>
  <c r="F33" i="28"/>
  <c r="G33" i="28"/>
  <c r="H33" i="28"/>
  <c r="I33" i="28"/>
  <c r="J33" i="28"/>
  <c r="K33" i="28"/>
  <c r="B33" i="28"/>
  <c r="C32" i="28"/>
  <c r="D32" i="28"/>
  <c r="E32" i="28"/>
  <c r="F32" i="28"/>
  <c r="G32" i="28"/>
  <c r="H32" i="28"/>
  <c r="I32" i="28"/>
  <c r="J32" i="28"/>
  <c r="K32" i="28"/>
  <c r="B32" i="28"/>
  <c r="C39" i="28"/>
  <c r="D39" i="28"/>
  <c r="E39" i="28"/>
  <c r="F39" i="28"/>
  <c r="G39" i="28"/>
  <c r="H39" i="28"/>
  <c r="I39" i="28"/>
  <c r="J39" i="28"/>
  <c r="K39" i="28"/>
  <c r="B39" i="28"/>
  <c r="C38" i="28"/>
  <c r="D38" i="28"/>
  <c r="E38" i="28"/>
  <c r="F38" i="28"/>
  <c r="G38" i="28"/>
  <c r="H38" i="28"/>
  <c r="I38" i="28"/>
  <c r="J38" i="28"/>
  <c r="K38" i="28"/>
  <c r="B38" i="28"/>
  <c r="C37" i="28"/>
  <c r="D37" i="28"/>
  <c r="E37" i="28"/>
  <c r="F37" i="28"/>
  <c r="G37" i="28"/>
  <c r="H37" i="28"/>
  <c r="I37" i="28"/>
  <c r="J37" i="28"/>
  <c r="K37" i="28"/>
  <c r="B37" i="28"/>
  <c r="C36" i="28"/>
  <c r="D36" i="28"/>
  <c r="E36" i="28"/>
  <c r="F36" i="28"/>
  <c r="G36" i="28"/>
  <c r="H36" i="28"/>
  <c r="I36" i="28"/>
  <c r="J36" i="28"/>
  <c r="K36" i="28"/>
  <c r="B36" i="28"/>
  <c r="C35" i="28"/>
  <c r="D35" i="28"/>
  <c r="E35" i="28"/>
  <c r="F35" i="28"/>
  <c r="G35" i="28"/>
  <c r="H35" i="28"/>
  <c r="I35" i="28"/>
  <c r="J35" i="28"/>
  <c r="K35" i="28"/>
  <c r="B35" i="28"/>
  <c r="C31" i="28"/>
  <c r="D31" i="28"/>
  <c r="E31" i="28"/>
  <c r="F31" i="28"/>
  <c r="G31" i="28"/>
  <c r="H31" i="28"/>
  <c r="I31" i="28"/>
  <c r="J31" i="28"/>
  <c r="K31" i="28"/>
  <c r="B31" i="28"/>
  <c r="C3" i="28"/>
  <c r="D3" i="28"/>
  <c r="E3" i="28"/>
  <c r="F3" i="28"/>
  <c r="G3" i="28"/>
  <c r="H3" i="28"/>
  <c r="I3" i="28"/>
  <c r="V9" i="28" s="1"/>
  <c r="J3" i="28"/>
  <c r="K3" i="28"/>
  <c r="B3" i="28"/>
  <c r="S16" i="28"/>
  <c r="O16" i="28"/>
  <c r="H11" i="27" l="1"/>
  <c r="E4" i="28"/>
  <c r="C42" i="11"/>
  <c r="H42" i="11" s="1"/>
  <c r="C39" i="11"/>
  <c r="H39" i="11" s="1"/>
  <c r="C40" i="11"/>
  <c r="H40" i="11" s="1"/>
  <c r="C41" i="11"/>
  <c r="H41" i="11" s="1"/>
  <c r="AF3" i="27"/>
  <c r="AL3" i="27"/>
  <c r="AH3" i="27"/>
  <c r="AO3" i="27"/>
  <c r="K11" i="27"/>
  <c r="J11" i="27"/>
  <c r="I11" i="27"/>
  <c r="F13" i="9" s="1"/>
  <c r="AG3" i="27"/>
  <c r="AN3" i="27"/>
  <c r="AK3" i="27"/>
  <c r="AJ3" i="27"/>
  <c r="AM3" i="27"/>
  <c r="AI3" i="27"/>
  <c r="D4" i="28"/>
  <c r="C5" i="28"/>
  <c r="P5" i="28" s="1"/>
  <c r="I5" i="28"/>
  <c r="I6" i="28" s="1"/>
  <c r="V6" i="28" s="1"/>
  <c r="E5" i="28"/>
  <c r="E6" i="28" s="1"/>
  <c r="R6" i="28" s="1"/>
  <c r="S8" i="28"/>
  <c r="J7" i="28"/>
  <c r="W7" i="28" s="1"/>
  <c r="F7" i="28"/>
  <c r="S7" i="28" s="1"/>
  <c r="I7" i="28"/>
  <c r="V7" i="28" s="1"/>
  <c r="E7" i="28"/>
  <c r="H7" i="28"/>
  <c r="U7" i="28" s="1"/>
  <c r="D7" i="28"/>
  <c r="K7" i="28"/>
  <c r="X7" i="28" s="1"/>
  <c r="G7" i="28"/>
  <c r="T7" i="28" s="1"/>
  <c r="C7" i="28"/>
  <c r="P7" i="28" s="1"/>
  <c r="B5" i="28"/>
  <c r="O5" i="28" s="1"/>
  <c r="H5" i="28"/>
  <c r="D5" i="28"/>
  <c r="Q5" i="28" s="1"/>
  <c r="B7" i="28"/>
  <c r="O7" i="28" s="1"/>
  <c r="O8" i="28"/>
  <c r="K4" i="28"/>
  <c r="G4" i="28"/>
  <c r="C4" i="28"/>
  <c r="K5" i="28"/>
  <c r="K6" i="28" s="1"/>
  <c r="G5" i="28"/>
  <c r="T5" i="28" s="1"/>
  <c r="J4" i="28"/>
  <c r="F4" i="28"/>
  <c r="J5" i="28"/>
  <c r="J6" i="28" s="1"/>
  <c r="F5" i="28"/>
  <c r="F6" i="28" s="1"/>
  <c r="W8" i="28"/>
  <c r="I4" i="28"/>
  <c r="R14" i="28"/>
  <c r="H4" i="28"/>
  <c r="Q7" i="28"/>
  <c r="Q9" i="28"/>
  <c r="U9" i="28"/>
  <c r="Q12" i="28"/>
  <c r="U12" i="28"/>
  <c r="O15" i="28"/>
  <c r="S15" i="28"/>
  <c r="W15" i="28"/>
  <c r="Q14" i="28"/>
  <c r="U14" i="28"/>
  <c r="O11" i="28"/>
  <c r="O10" i="28" s="1"/>
  <c r="S11" i="28"/>
  <c r="S10" i="28" s="1"/>
  <c r="W11" i="28"/>
  <c r="W10" i="28" s="1"/>
  <c r="P8" i="28"/>
  <c r="T8" i="28"/>
  <c r="X8" i="28"/>
  <c r="P11" i="28"/>
  <c r="P10" i="28" s="1"/>
  <c r="T11" i="28"/>
  <c r="T10" i="28" s="1"/>
  <c r="X11" i="28"/>
  <c r="X10" i="28" s="1"/>
  <c r="O13" i="28"/>
  <c r="Q8" i="28"/>
  <c r="U8" i="28"/>
  <c r="O9" i="28"/>
  <c r="S9" i="28"/>
  <c r="W9" i="28"/>
  <c r="O12" i="28"/>
  <c r="S12" i="28"/>
  <c r="W12" i="28"/>
  <c r="Q15" i="28"/>
  <c r="U15" i="28"/>
  <c r="O14" i="28"/>
  <c r="S14" i="28"/>
  <c r="W14" i="28"/>
  <c r="Q11" i="28"/>
  <c r="Q10" i="28" s="1"/>
  <c r="U11" i="28"/>
  <c r="U10" i="28" s="1"/>
  <c r="S13" i="28"/>
  <c r="W16" i="28"/>
  <c r="P9" i="28"/>
  <c r="T9" i="28"/>
  <c r="X9" i="28"/>
  <c r="P12" i="28"/>
  <c r="T12" i="28"/>
  <c r="X12" i="28"/>
  <c r="R15" i="28"/>
  <c r="V15" i="28"/>
  <c r="W13" i="28"/>
  <c r="V14" i="28"/>
  <c r="R7" i="28"/>
  <c r="R12" i="28"/>
  <c r="V12" i="28"/>
  <c r="P15" i="28"/>
  <c r="T15" i="28"/>
  <c r="X15" i="28"/>
  <c r="R16" i="28"/>
  <c r="V16" i="28"/>
  <c r="R11" i="28"/>
  <c r="R10" i="28" s="1"/>
  <c r="V11" i="28"/>
  <c r="V10" i="28" s="1"/>
  <c r="R9" i="28"/>
  <c r="R8" i="28"/>
  <c r="V8" i="28"/>
  <c r="R13" i="28"/>
  <c r="V13" i="28"/>
  <c r="P14" i="28"/>
  <c r="P16" i="28"/>
  <c r="T14" i="28"/>
  <c r="T16" i="28"/>
  <c r="X14" i="28"/>
  <c r="X16" i="28"/>
  <c r="P13" i="28"/>
  <c r="T13" i="28"/>
  <c r="X13" i="28"/>
  <c r="Q13" i="28"/>
  <c r="U13" i="28"/>
  <c r="Q16" i="28"/>
  <c r="U16" i="28"/>
  <c r="AO5" i="27" l="1"/>
  <c r="K10" i="24"/>
  <c r="I10" i="24"/>
  <c r="AM5" i="27"/>
  <c r="AH5" i="27"/>
  <c r="D10" i="24"/>
  <c r="AF5" i="27"/>
  <c r="B10" i="24"/>
  <c r="E10" i="24"/>
  <c r="AI5" i="27"/>
  <c r="AG5" i="27"/>
  <c r="C10" i="24"/>
  <c r="J10" i="24"/>
  <c r="AN5" i="27"/>
  <c r="AK5" i="27"/>
  <c r="G10" i="24"/>
  <c r="AL5" i="27"/>
  <c r="H10" i="24"/>
  <c r="F10" i="24"/>
  <c r="AJ5" i="27"/>
  <c r="Z10" i="28"/>
  <c r="AA10" i="28"/>
  <c r="AB10" i="28"/>
  <c r="C6" i="28"/>
  <c r="P6" i="28" s="1"/>
  <c r="R5" i="28"/>
  <c r="V5" i="28"/>
  <c r="S6" i="28"/>
  <c r="D6" i="28"/>
  <c r="Q6" i="28" s="1"/>
  <c r="W6" i="28"/>
  <c r="H6" i="28"/>
  <c r="U6" i="28" s="1"/>
  <c r="X6" i="28"/>
  <c r="G6" i="28"/>
  <c r="B6" i="28"/>
  <c r="O6" i="28" s="1"/>
  <c r="W5" i="28"/>
  <c r="U5" i="28"/>
  <c r="S5" i="28"/>
  <c r="Z16" i="28"/>
  <c r="AB16" i="28"/>
  <c r="AA16" i="28"/>
  <c r="Z12" i="28"/>
  <c r="X5" i="28"/>
  <c r="Z11" i="28"/>
  <c r="AB8" i="28"/>
  <c r="AA7" i="28"/>
  <c r="AB14" i="28"/>
  <c r="AA8" i="28"/>
  <c r="T6" i="28"/>
  <c r="Z7" i="28"/>
  <c r="AA15" i="28"/>
  <c r="Z8" i="28"/>
  <c r="AB13" i="28"/>
  <c r="AB15" i="28"/>
  <c r="AA14" i="28"/>
  <c r="AA9" i="28"/>
  <c r="AB12" i="28"/>
  <c r="AB7" i="28"/>
  <c r="AB11" i="28"/>
  <c r="AA11" i="28"/>
  <c r="AA12" i="28"/>
  <c r="AA13" i="28"/>
  <c r="Z15" i="28"/>
  <c r="Z13" i="28"/>
  <c r="Z14" i="28"/>
  <c r="AB9" i="28"/>
  <c r="Z9" i="28"/>
  <c r="O10" i="24" l="1"/>
  <c r="N10" i="24"/>
  <c r="M10" i="24"/>
  <c r="AB5" i="28"/>
  <c r="Z5" i="28"/>
  <c r="AA5" i="28"/>
  <c r="Z6" i="28"/>
  <c r="AA6" i="28"/>
  <c r="AB6" i="28"/>
  <c r="B15" i="12" l="1"/>
  <c r="C4" i="4" l="1"/>
  <c r="C9" i="4" s="1"/>
  <c r="C11" i="13"/>
  <c r="S28" i="22"/>
  <c r="P28" i="22"/>
  <c r="Q28" i="22"/>
  <c r="V28" i="22"/>
  <c r="L19" i="22"/>
  <c r="N10" i="22" l="1"/>
  <c r="C10" i="4"/>
  <c r="D17" i="23"/>
  <c r="L29" i="22"/>
  <c r="B11" i="13"/>
  <c r="B4" i="13"/>
  <c r="C12" i="2"/>
  <c r="D12" i="2"/>
  <c r="E12" i="2"/>
  <c r="F12" i="2"/>
  <c r="G12" i="2"/>
  <c r="H12" i="2"/>
  <c r="I12" i="2"/>
  <c r="J12" i="2"/>
  <c r="K12" i="2"/>
  <c r="B5" i="2"/>
  <c r="B6" i="2"/>
  <c r="A5" i="27" l="1"/>
  <c r="A6" i="27"/>
  <c r="A3" i="27"/>
  <c r="R28" i="22" l="1"/>
  <c r="A4" i="27" l="1"/>
  <c r="B11" i="11" l="1"/>
  <c r="D7" i="9"/>
  <c r="O3" i="13" l="1"/>
  <c r="N3" i="13"/>
  <c r="M3" i="13"/>
  <c r="M5" i="22" l="1"/>
  <c r="P31" i="22"/>
  <c r="Q31" i="22"/>
  <c r="R31" i="22"/>
  <c r="S31" i="22"/>
  <c r="T31" i="22"/>
  <c r="U31" i="22"/>
  <c r="V31" i="22"/>
  <c r="W31" i="22"/>
  <c r="O31" i="22"/>
  <c r="P30" i="22"/>
  <c r="Q30" i="22"/>
  <c r="R30" i="22"/>
  <c r="S30" i="22"/>
  <c r="T30" i="22"/>
  <c r="U30" i="22"/>
  <c r="V30" i="22"/>
  <c r="W30" i="22"/>
  <c r="O30" i="22"/>
  <c r="T28" i="22"/>
  <c r="U28" i="22"/>
  <c r="M30" i="22"/>
  <c r="M31" i="22"/>
  <c r="M29" i="22"/>
  <c r="B16" i="25"/>
  <c r="W28" i="22" l="1"/>
  <c r="D10" i="23"/>
  <c r="E10" i="23"/>
  <c r="F10" i="23"/>
  <c r="G10" i="23"/>
  <c r="H10" i="23"/>
  <c r="I10" i="23"/>
  <c r="J10" i="23"/>
  <c r="K10" i="23"/>
  <c r="L10" i="23"/>
  <c r="C10" i="23"/>
  <c r="E9" i="23"/>
  <c r="F9" i="23"/>
  <c r="G9" i="23"/>
  <c r="H9" i="23"/>
  <c r="I9" i="23"/>
  <c r="J9" i="23"/>
  <c r="K9" i="23"/>
  <c r="L9" i="23"/>
  <c r="C9" i="23"/>
  <c r="P10" i="23" l="1"/>
  <c r="P9" i="23"/>
  <c r="N9" i="23"/>
  <c r="O9" i="23"/>
  <c r="N10" i="23"/>
  <c r="O10" i="23"/>
  <c r="B8" i="20" l="1"/>
  <c r="B7" i="20"/>
  <c r="B6" i="20"/>
  <c r="A2" i="2" s="1"/>
  <c r="A1" i="27" s="1"/>
  <c r="AE1" i="27" s="1"/>
  <c r="G19" i="11" l="1"/>
  <c r="I46" i="11"/>
  <c r="T46" i="11" s="1"/>
  <c r="A1" i="24"/>
  <c r="B1" i="23"/>
  <c r="A1" i="25"/>
  <c r="F1" i="22"/>
  <c r="B6" i="4" l="1"/>
  <c r="C6" i="4"/>
  <c r="F26" i="4" s="1"/>
  <c r="D6" i="4"/>
  <c r="F25" i="4" s="1"/>
  <c r="E6" i="4"/>
  <c r="F24" i="4" s="1"/>
  <c r="F6" i="4"/>
  <c r="F23" i="4" s="1"/>
  <c r="G6" i="4"/>
  <c r="F22" i="4" s="1"/>
  <c r="H6" i="4"/>
  <c r="F21" i="4" s="1"/>
  <c r="I6" i="4"/>
  <c r="F20" i="4" s="1"/>
  <c r="J6" i="4"/>
  <c r="F19" i="4" s="1"/>
  <c r="K6" i="4"/>
  <c r="F18" i="4" s="1"/>
  <c r="L6" i="4" l="1"/>
  <c r="F27" i="4"/>
  <c r="B13" i="12" l="1"/>
  <c r="F4" i="13" l="1"/>
  <c r="K11" i="13" l="1"/>
  <c r="J11" i="13"/>
  <c r="I11" i="13"/>
  <c r="H11" i="13"/>
  <c r="G11" i="13"/>
  <c r="F11" i="13"/>
  <c r="E11" i="13"/>
  <c r="D11" i="13"/>
  <c r="K18" i="13"/>
  <c r="J18" i="13"/>
  <c r="I18" i="13"/>
  <c r="H18" i="13"/>
  <c r="G18" i="13"/>
  <c r="F18" i="13"/>
  <c r="E18" i="13"/>
  <c r="D18" i="13"/>
  <c r="C18" i="13"/>
  <c r="B18" i="13"/>
  <c r="K17" i="13"/>
  <c r="J17" i="13"/>
  <c r="I17" i="13"/>
  <c r="H17" i="13"/>
  <c r="G17" i="13"/>
  <c r="F17" i="13"/>
  <c r="E17" i="13"/>
  <c r="D17" i="13"/>
  <c r="C17" i="13"/>
  <c r="B17" i="13"/>
  <c r="K16" i="13"/>
  <c r="J16" i="13"/>
  <c r="I16" i="13"/>
  <c r="H16" i="13"/>
  <c r="G16" i="13"/>
  <c r="F16" i="13"/>
  <c r="E16" i="13"/>
  <c r="D16" i="13"/>
  <c r="C16" i="13"/>
  <c r="B16" i="13"/>
  <c r="K15" i="13"/>
  <c r="J15" i="13"/>
  <c r="I15" i="13"/>
  <c r="H15" i="13"/>
  <c r="G15" i="13"/>
  <c r="F15" i="13"/>
  <c r="E15" i="13"/>
  <c r="D15" i="13"/>
  <c r="C15" i="13"/>
  <c r="B15" i="13"/>
  <c r="K14" i="13"/>
  <c r="J14" i="13"/>
  <c r="I14" i="13"/>
  <c r="H14" i="13"/>
  <c r="G14" i="13"/>
  <c r="F14" i="13"/>
  <c r="E14" i="13"/>
  <c r="D14" i="13"/>
  <c r="C14" i="13"/>
  <c r="B14" i="13"/>
  <c r="K13" i="13"/>
  <c r="J13" i="13"/>
  <c r="I13" i="13"/>
  <c r="H13" i="13"/>
  <c r="G13" i="13"/>
  <c r="F13" i="13"/>
  <c r="E13" i="13"/>
  <c r="D13" i="13"/>
  <c r="C13" i="13"/>
  <c r="B13" i="13"/>
  <c r="K12" i="13"/>
  <c r="J12" i="13"/>
  <c r="I12" i="13"/>
  <c r="H12" i="13"/>
  <c r="G12" i="13"/>
  <c r="F12" i="13"/>
  <c r="E12" i="13"/>
  <c r="D12" i="13"/>
  <c r="C12" i="13"/>
  <c r="B12" i="13"/>
  <c r="K10" i="13"/>
  <c r="J10" i="13"/>
  <c r="I10" i="13"/>
  <c r="H10" i="13"/>
  <c r="G10" i="13"/>
  <c r="F10" i="13"/>
  <c r="E10" i="13"/>
  <c r="D10" i="13"/>
  <c r="C10" i="13"/>
  <c r="B10" i="13"/>
  <c r="K9" i="13"/>
  <c r="J9" i="13"/>
  <c r="I9" i="13"/>
  <c r="H9" i="13"/>
  <c r="G9" i="13"/>
  <c r="F9" i="13"/>
  <c r="E9" i="13"/>
  <c r="D9" i="13"/>
  <c r="C9" i="13"/>
  <c r="B9" i="13"/>
  <c r="K8" i="13"/>
  <c r="J8" i="13"/>
  <c r="I8" i="13"/>
  <c r="H8" i="13"/>
  <c r="G8" i="13"/>
  <c r="F8" i="13"/>
  <c r="E8" i="13"/>
  <c r="D8" i="13"/>
  <c r="C8" i="13"/>
  <c r="B8" i="13"/>
  <c r="K7" i="13"/>
  <c r="J7" i="13"/>
  <c r="I7" i="13"/>
  <c r="H7" i="13"/>
  <c r="G7" i="13"/>
  <c r="F7" i="13"/>
  <c r="E7" i="13"/>
  <c r="D7" i="13"/>
  <c r="C7" i="13"/>
  <c r="B7" i="13"/>
  <c r="K6" i="13"/>
  <c r="J6" i="13"/>
  <c r="I6" i="13"/>
  <c r="H6" i="13"/>
  <c r="G6" i="13"/>
  <c r="F6" i="13"/>
  <c r="E6" i="13"/>
  <c r="D6" i="13"/>
  <c r="C6" i="13"/>
  <c r="B6" i="13"/>
  <c r="K5" i="13"/>
  <c r="J5" i="13"/>
  <c r="I5" i="13"/>
  <c r="H5" i="13"/>
  <c r="G5" i="13"/>
  <c r="F5" i="13"/>
  <c r="E5" i="13"/>
  <c r="D5" i="13"/>
  <c r="C5" i="13"/>
  <c r="B5" i="13"/>
  <c r="K4" i="13"/>
  <c r="J4" i="13"/>
  <c r="I4" i="13"/>
  <c r="H4" i="13"/>
  <c r="G4" i="13"/>
  <c r="E4" i="13"/>
  <c r="D4" i="13"/>
  <c r="C4" i="13"/>
  <c r="O10" i="13" l="1"/>
  <c r="M10" i="13"/>
  <c r="N10" i="13"/>
  <c r="M17" i="13"/>
  <c r="N17" i="13"/>
  <c r="O17" i="13"/>
  <c r="M13" i="13"/>
  <c r="N13" i="13"/>
  <c r="O13" i="13"/>
  <c r="M7" i="13"/>
  <c r="N7" i="13"/>
  <c r="O7" i="13"/>
  <c r="N9" i="13"/>
  <c r="O9" i="13"/>
  <c r="M9" i="13"/>
  <c r="O12" i="13"/>
  <c r="M12" i="13"/>
  <c r="N12" i="13"/>
  <c r="M14" i="13"/>
  <c r="N14" i="13"/>
  <c r="O14" i="13"/>
  <c r="O16" i="13"/>
  <c r="M16" i="13"/>
  <c r="N16" i="13"/>
  <c r="M18" i="13"/>
  <c r="N18" i="13"/>
  <c r="O18" i="13"/>
  <c r="M11" i="13"/>
  <c r="N11" i="13"/>
  <c r="O11" i="13"/>
  <c r="O6" i="13"/>
  <c r="M6" i="13"/>
  <c r="N6" i="13"/>
  <c r="M8" i="13"/>
  <c r="N8" i="13"/>
  <c r="O8" i="13"/>
  <c r="N15" i="13"/>
  <c r="O15" i="13"/>
  <c r="M15" i="13"/>
  <c r="O4" i="13"/>
  <c r="N4" i="13"/>
  <c r="M4" i="13"/>
  <c r="N5" i="13"/>
  <c r="O5" i="13"/>
  <c r="M5" i="13"/>
  <c r="E5" i="11"/>
  <c r="G18" i="11"/>
  <c r="K4" i="12"/>
  <c r="J4" i="12"/>
  <c r="J5" i="12" s="1"/>
  <c r="I4" i="12"/>
  <c r="I5" i="12" s="1"/>
  <c r="H4" i="12"/>
  <c r="H5" i="12" s="1"/>
  <c r="G4" i="12"/>
  <c r="G5" i="12" s="1"/>
  <c r="F4" i="12"/>
  <c r="F5" i="12" s="1"/>
  <c r="E4" i="12"/>
  <c r="E5" i="12" s="1"/>
  <c r="D4" i="12"/>
  <c r="D5" i="12" s="1"/>
  <c r="C4" i="12"/>
  <c r="C5" i="12" s="1"/>
  <c r="B4" i="12"/>
  <c r="B5" i="12" s="1"/>
  <c r="K3" i="12"/>
  <c r="J3" i="12"/>
  <c r="I3" i="12"/>
  <c r="H3" i="12"/>
  <c r="G3" i="12"/>
  <c r="F3" i="12"/>
  <c r="E3" i="12"/>
  <c r="D3" i="12"/>
  <c r="C3" i="12"/>
  <c r="B3" i="12"/>
  <c r="A2" i="12"/>
  <c r="A2" i="11"/>
  <c r="K5" i="12" l="1"/>
  <c r="M4" i="12"/>
  <c r="L4" i="12"/>
  <c r="L7" i="9" l="1"/>
  <c r="A4" i="9"/>
  <c r="I4" i="9" s="1"/>
  <c r="B14" i="3" l="1"/>
  <c r="C14" i="3"/>
  <c r="D14" i="3"/>
  <c r="E14" i="3"/>
  <c r="F14" i="3"/>
  <c r="G14" i="3"/>
  <c r="H14" i="3"/>
  <c r="I14" i="3"/>
  <c r="J14" i="3"/>
  <c r="K14" i="3"/>
  <c r="C7" i="3" l="1"/>
  <c r="D7" i="3"/>
  <c r="E7" i="3"/>
  <c r="F7" i="3"/>
  <c r="G7" i="3"/>
  <c r="H7" i="3"/>
  <c r="I7" i="3"/>
  <c r="J7" i="3"/>
  <c r="K7" i="3"/>
  <c r="B7" i="3"/>
  <c r="I23" i="28" l="1"/>
  <c r="I18" i="28"/>
  <c r="E23" i="28"/>
  <c r="E18" i="28"/>
  <c r="H18" i="28"/>
  <c r="H23" i="28"/>
  <c r="D23" i="28"/>
  <c r="D18" i="28"/>
  <c r="B18" i="28"/>
  <c r="B20" i="28" s="1"/>
  <c r="B23" i="28"/>
  <c r="G23" i="28"/>
  <c r="G18" i="28"/>
  <c r="C23" i="28"/>
  <c r="C18" i="28"/>
  <c r="J18" i="28"/>
  <c r="J19" i="28" s="1"/>
  <c r="J23" i="28"/>
  <c r="F23" i="28"/>
  <c r="F18" i="28"/>
  <c r="K18" i="28"/>
  <c r="K23" i="28"/>
  <c r="B6" i="6"/>
  <c r="B9" i="20" s="1"/>
  <c r="C17" i="2"/>
  <c r="D17" i="2"/>
  <c r="E17" i="2"/>
  <c r="F17" i="2"/>
  <c r="G17" i="2"/>
  <c r="H17" i="2"/>
  <c r="I17" i="2"/>
  <c r="J17" i="2"/>
  <c r="K17" i="2"/>
  <c r="C18" i="2"/>
  <c r="D8" i="23" s="1"/>
  <c r="D18" i="2"/>
  <c r="E8" i="23" s="1"/>
  <c r="E18" i="2"/>
  <c r="F8" i="23" s="1"/>
  <c r="F18" i="2"/>
  <c r="G8" i="23" s="1"/>
  <c r="G18" i="2"/>
  <c r="H8" i="23" s="1"/>
  <c r="H18" i="2"/>
  <c r="I8" i="23" s="1"/>
  <c r="I18" i="2"/>
  <c r="J8" i="23" s="1"/>
  <c r="J18" i="2"/>
  <c r="K8" i="23" s="1"/>
  <c r="K18" i="2"/>
  <c r="B17" i="2"/>
  <c r="C4" i="2"/>
  <c r="D4" i="2"/>
  <c r="E4" i="2"/>
  <c r="F4" i="2"/>
  <c r="G4" i="2"/>
  <c r="H4" i="2"/>
  <c r="I4" i="2"/>
  <c r="J4" i="2"/>
  <c r="K4" i="2"/>
  <c r="C5" i="2"/>
  <c r="D5" i="2"/>
  <c r="E5" i="2"/>
  <c r="F5" i="2"/>
  <c r="G5" i="2"/>
  <c r="H5" i="2"/>
  <c r="I5" i="2"/>
  <c r="J5" i="2"/>
  <c r="K5" i="2"/>
  <c r="C6" i="2"/>
  <c r="D19" i="23" s="1"/>
  <c r="D6" i="2"/>
  <c r="E6" i="2"/>
  <c r="F6" i="2"/>
  <c r="G6" i="2"/>
  <c r="H6" i="2"/>
  <c r="I6" i="2"/>
  <c r="J6" i="2"/>
  <c r="K6" i="2"/>
  <c r="C7" i="2"/>
  <c r="D7" i="2"/>
  <c r="E7" i="2"/>
  <c r="F7" i="2"/>
  <c r="G7" i="2"/>
  <c r="H7" i="2"/>
  <c r="I7" i="2"/>
  <c r="J7" i="2"/>
  <c r="K7" i="2"/>
  <c r="C8" i="2"/>
  <c r="C12" i="24" s="1"/>
  <c r="D8" i="2"/>
  <c r="D12" i="24" s="1"/>
  <c r="E8" i="2"/>
  <c r="E12" i="24" s="1"/>
  <c r="F8" i="2"/>
  <c r="F12" i="24" s="1"/>
  <c r="G8" i="2"/>
  <c r="G12" i="24" s="1"/>
  <c r="H8" i="2"/>
  <c r="H12" i="24" s="1"/>
  <c r="I8" i="2"/>
  <c r="I12" i="24" s="1"/>
  <c r="J8" i="2"/>
  <c r="J12" i="24" s="1"/>
  <c r="K8" i="2"/>
  <c r="C10" i="2"/>
  <c r="D10" i="2"/>
  <c r="E10" i="2"/>
  <c r="F10" i="2"/>
  <c r="G10" i="2"/>
  <c r="H10" i="2"/>
  <c r="I10" i="2"/>
  <c r="J10" i="2"/>
  <c r="K10" i="2"/>
  <c r="C11" i="2"/>
  <c r="D11" i="2"/>
  <c r="E11" i="2"/>
  <c r="F11" i="2"/>
  <c r="G11" i="2"/>
  <c r="H11" i="2"/>
  <c r="I11" i="2"/>
  <c r="J11" i="2"/>
  <c r="K11" i="2"/>
  <c r="C13" i="2"/>
  <c r="D13" i="2"/>
  <c r="E13" i="2"/>
  <c r="F13" i="2"/>
  <c r="G13" i="2"/>
  <c r="H13" i="2"/>
  <c r="I13" i="2"/>
  <c r="J13" i="2"/>
  <c r="K13" i="2"/>
  <c r="C14" i="2"/>
  <c r="D14" i="2"/>
  <c r="E14" i="2"/>
  <c r="F14" i="2"/>
  <c r="G14" i="2"/>
  <c r="H14" i="2"/>
  <c r="I14" i="2"/>
  <c r="J14" i="2"/>
  <c r="K14" i="2"/>
  <c r="B14" i="2"/>
  <c r="B4" i="2"/>
  <c r="B5" i="24" s="1"/>
  <c r="D4" i="4"/>
  <c r="D9" i="4" s="1"/>
  <c r="E4" i="4"/>
  <c r="E9" i="4" s="1"/>
  <c r="F4" i="4"/>
  <c r="F9" i="4" s="1"/>
  <c r="G4" i="4"/>
  <c r="H4" i="4"/>
  <c r="I4" i="4"/>
  <c r="I9" i="4" s="1"/>
  <c r="J4" i="4"/>
  <c r="J9" i="4" s="1"/>
  <c r="K4" i="4"/>
  <c r="B53" i="11" s="1"/>
  <c r="C7" i="4"/>
  <c r="E26" i="4" s="1"/>
  <c r="D7" i="4"/>
  <c r="E25" i="4" s="1"/>
  <c r="E7" i="4"/>
  <c r="E24" i="4" s="1"/>
  <c r="F7" i="4"/>
  <c r="E23" i="4" s="1"/>
  <c r="G7" i="4"/>
  <c r="E22" i="4" s="1"/>
  <c r="H7" i="4"/>
  <c r="E21" i="4" s="1"/>
  <c r="I7" i="4"/>
  <c r="E20" i="4" s="1"/>
  <c r="J7" i="4"/>
  <c r="E19" i="4" s="1"/>
  <c r="K7" i="4"/>
  <c r="E18" i="4" s="1"/>
  <c r="C8" i="4"/>
  <c r="D8" i="4"/>
  <c r="E8" i="4"/>
  <c r="F8" i="4"/>
  <c r="G8" i="4"/>
  <c r="H8" i="4"/>
  <c r="I8" i="4"/>
  <c r="J8" i="4"/>
  <c r="K8" i="4"/>
  <c r="C4" i="3"/>
  <c r="D4" i="3"/>
  <c r="E4" i="3"/>
  <c r="F4" i="3"/>
  <c r="G4" i="3"/>
  <c r="G5" i="3" s="1"/>
  <c r="H4" i="3"/>
  <c r="I4" i="3"/>
  <c r="I5" i="3" s="1"/>
  <c r="J4" i="3"/>
  <c r="J5" i="3" s="1"/>
  <c r="K4" i="3"/>
  <c r="K5" i="3" s="1"/>
  <c r="C6" i="3"/>
  <c r="D6" i="3"/>
  <c r="E6" i="3"/>
  <c r="F6" i="3"/>
  <c r="G6" i="3"/>
  <c r="H6" i="3"/>
  <c r="I6" i="3"/>
  <c r="J6" i="3"/>
  <c r="K6" i="3"/>
  <c r="C8" i="3"/>
  <c r="D8" i="3"/>
  <c r="E8" i="3"/>
  <c r="F8" i="3"/>
  <c r="G8" i="3"/>
  <c r="H8" i="3"/>
  <c r="I8" i="3"/>
  <c r="J8" i="3"/>
  <c r="K8" i="3"/>
  <c r="C9" i="3"/>
  <c r="D9" i="3"/>
  <c r="E9" i="3"/>
  <c r="F9" i="3"/>
  <c r="G9" i="3"/>
  <c r="H9" i="3"/>
  <c r="I9" i="3"/>
  <c r="J9" i="3"/>
  <c r="K9" i="3"/>
  <c r="C10" i="3"/>
  <c r="D10" i="3"/>
  <c r="E10" i="3"/>
  <c r="F10" i="3"/>
  <c r="G10" i="3"/>
  <c r="H10" i="3"/>
  <c r="I10" i="3"/>
  <c r="J10" i="3"/>
  <c r="K10" i="3"/>
  <c r="C11" i="3"/>
  <c r="C12" i="3" s="1"/>
  <c r="D11" i="3"/>
  <c r="E11" i="3"/>
  <c r="F11" i="3"/>
  <c r="G11" i="3"/>
  <c r="G12" i="3" s="1"/>
  <c r="H11" i="3"/>
  <c r="I11" i="3"/>
  <c r="J11" i="3"/>
  <c r="K11" i="3"/>
  <c r="C15" i="3"/>
  <c r="D15" i="3"/>
  <c r="E15" i="3"/>
  <c r="F15" i="3"/>
  <c r="G15" i="3"/>
  <c r="G16" i="3" s="1"/>
  <c r="H15" i="3"/>
  <c r="I15" i="3"/>
  <c r="I16" i="3" s="1"/>
  <c r="J15" i="3"/>
  <c r="J16" i="3" s="1"/>
  <c r="K15" i="3"/>
  <c r="K16" i="3" s="1"/>
  <c r="B6" i="3"/>
  <c r="E1" i="6"/>
  <c r="F12" i="3" l="1"/>
  <c r="F19" i="28"/>
  <c r="C19" i="28"/>
  <c r="D12" i="3"/>
  <c r="I19" i="28"/>
  <c r="G19" i="28"/>
  <c r="D19" i="28"/>
  <c r="E19" i="28"/>
  <c r="L8" i="23"/>
  <c r="J17" i="27"/>
  <c r="I17" i="27"/>
  <c r="H17" i="27"/>
  <c r="K20" i="28"/>
  <c r="K22" i="25" s="1"/>
  <c r="K19" i="28"/>
  <c r="G19" i="23"/>
  <c r="K16" i="27"/>
  <c r="J16" i="27"/>
  <c r="H16" i="27"/>
  <c r="I16" i="27"/>
  <c r="K12" i="24"/>
  <c r="K14" i="24" s="1"/>
  <c r="D3" i="23"/>
  <c r="P17" i="22" s="1"/>
  <c r="F19" i="23"/>
  <c r="H19" i="28"/>
  <c r="L13" i="28"/>
  <c r="I19" i="23"/>
  <c r="D53" i="11"/>
  <c r="H19" i="23"/>
  <c r="G21" i="4"/>
  <c r="H9" i="4"/>
  <c r="G18" i="4"/>
  <c r="K9" i="4"/>
  <c r="G22" i="4"/>
  <c r="G9" i="4"/>
  <c r="H10" i="4"/>
  <c r="I17" i="23"/>
  <c r="S10" i="22"/>
  <c r="D10" i="4"/>
  <c r="E17" i="23"/>
  <c r="O10" i="22"/>
  <c r="I11" i="4"/>
  <c r="J16" i="23" s="1"/>
  <c r="J11" i="23"/>
  <c r="AM7" i="27"/>
  <c r="AM8" i="27" s="1"/>
  <c r="I6" i="27" s="1"/>
  <c r="E11" i="4"/>
  <c r="F16" i="23" s="1"/>
  <c r="F11" i="23"/>
  <c r="AI7" i="27"/>
  <c r="E19" i="23"/>
  <c r="J5" i="24"/>
  <c r="F5" i="24"/>
  <c r="K42" i="25"/>
  <c r="K32" i="25"/>
  <c r="B25" i="28"/>
  <c r="J32" i="25"/>
  <c r="J42" i="25"/>
  <c r="G20" i="28"/>
  <c r="D20" i="28"/>
  <c r="D22" i="25" s="1"/>
  <c r="E20" i="28"/>
  <c r="L12" i="28"/>
  <c r="H5" i="3"/>
  <c r="L3" i="28"/>
  <c r="K10" i="4"/>
  <c r="L17" i="23"/>
  <c r="V10" i="22"/>
  <c r="G10" i="4"/>
  <c r="H17" i="23"/>
  <c r="R10" i="22"/>
  <c r="H11" i="4"/>
  <c r="I16" i="23" s="1"/>
  <c r="I11" i="23"/>
  <c r="AL7" i="27"/>
  <c r="AM9" i="27" s="1"/>
  <c r="I3" i="27" s="1"/>
  <c r="D11" i="4"/>
  <c r="E16" i="23" s="1"/>
  <c r="E11" i="23"/>
  <c r="AH7" i="27"/>
  <c r="I5" i="24"/>
  <c r="E5" i="24"/>
  <c r="J20" i="28"/>
  <c r="J22" i="25" s="1"/>
  <c r="G42" i="25"/>
  <c r="G32" i="25"/>
  <c r="D42" i="25"/>
  <c r="D32" i="25"/>
  <c r="E32" i="25"/>
  <c r="E42" i="25"/>
  <c r="J10" i="4"/>
  <c r="K17" i="23"/>
  <c r="U10" i="22"/>
  <c r="F10" i="4"/>
  <c r="G17" i="23"/>
  <c r="Q10" i="22"/>
  <c r="K11" i="4"/>
  <c r="L16" i="23" s="1"/>
  <c r="L11" i="23"/>
  <c r="AO7" i="27"/>
  <c r="AO8" i="27" s="1"/>
  <c r="K6" i="27" s="1"/>
  <c r="G11" i="4"/>
  <c r="H16" i="23" s="1"/>
  <c r="H11" i="23"/>
  <c r="AK7" i="27"/>
  <c r="AK8" i="27" s="1"/>
  <c r="G6" i="27" s="1"/>
  <c r="D11" i="23"/>
  <c r="AG7" i="27"/>
  <c r="H5" i="24"/>
  <c r="D5" i="24"/>
  <c r="F20" i="28"/>
  <c r="F22" i="25" s="1"/>
  <c r="C20" i="28"/>
  <c r="C22" i="25" s="1"/>
  <c r="B32" i="25"/>
  <c r="B42" i="25"/>
  <c r="H42" i="25"/>
  <c r="H32" i="25"/>
  <c r="I20" i="28"/>
  <c r="H16" i="3"/>
  <c r="L16" i="28"/>
  <c r="L18" i="28" s="1"/>
  <c r="L11" i="28"/>
  <c r="I10" i="4"/>
  <c r="J17" i="23"/>
  <c r="T10" i="22"/>
  <c r="E10" i="4"/>
  <c r="F17" i="23"/>
  <c r="P10" i="22"/>
  <c r="J11" i="4"/>
  <c r="K16" i="23" s="1"/>
  <c r="K11" i="23"/>
  <c r="AN7" i="27"/>
  <c r="F11" i="4"/>
  <c r="G16" i="23" s="1"/>
  <c r="G11" i="23"/>
  <c r="AJ7" i="27"/>
  <c r="AJ8" i="27" s="1"/>
  <c r="J13" i="23"/>
  <c r="K5" i="24"/>
  <c r="G5" i="24"/>
  <c r="C5" i="24"/>
  <c r="F32" i="25"/>
  <c r="F42" i="25"/>
  <c r="C42" i="25"/>
  <c r="C32" i="25"/>
  <c r="B22" i="25"/>
  <c r="H20" i="28"/>
  <c r="H22" i="25" s="1"/>
  <c r="I32" i="25"/>
  <c r="I42" i="25"/>
  <c r="AO11" i="27"/>
  <c r="K5" i="27"/>
  <c r="AH9" i="27"/>
  <c r="D3" i="27" s="1"/>
  <c r="AI8" i="27"/>
  <c r="E6" i="27" s="1"/>
  <c r="AM11" i="27"/>
  <c r="I5" i="27"/>
  <c r="AI11" i="27"/>
  <c r="E5" i="27"/>
  <c r="AN8" i="27"/>
  <c r="AN11" i="27"/>
  <c r="J5" i="27"/>
  <c r="AL8" i="27"/>
  <c r="AH8" i="27"/>
  <c r="D28" i="24"/>
  <c r="AF11" i="27"/>
  <c r="B5" i="27"/>
  <c r="AL11" i="27"/>
  <c r="H5" i="27"/>
  <c r="AH11" i="27"/>
  <c r="D5" i="27"/>
  <c r="AK11" i="27"/>
  <c r="G5" i="27"/>
  <c r="AG11" i="27"/>
  <c r="C5" i="27"/>
  <c r="AG8" i="27"/>
  <c r="C6" i="27" s="1"/>
  <c r="AI9" i="27"/>
  <c r="E3" i="27" s="1"/>
  <c r="AJ11" i="27"/>
  <c r="F5" i="27"/>
  <c r="B34" i="25"/>
  <c r="I28" i="24"/>
  <c r="E28" i="24"/>
  <c r="H28" i="24"/>
  <c r="K28" i="24"/>
  <c r="B10" i="20"/>
  <c r="B9" i="10" s="1"/>
  <c r="E9" i="10" s="1"/>
  <c r="F16" i="24"/>
  <c r="G12" i="23"/>
  <c r="E13" i="23"/>
  <c r="O21" i="22" s="1"/>
  <c r="E14" i="23"/>
  <c r="I16" i="24"/>
  <c r="J12" i="23"/>
  <c r="E16" i="24"/>
  <c r="F12" i="23"/>
  <c r="L13" i="23"/>
  <c r="V21" i="22" s="1"/>
  <c r="L14" i="23"/>
  <c r="D4" i="23" s="1"/>
  <c r="T17" i="22" s="1"/>
  <c r="H14" i="23"/>
  <c r="H13" i="23"/>
  <c r="R21" i="22" s="1"/>
  <c r="D14" i="23"/>
  <c r="D13" i="23"/>
  <c r="N21" i="22" s="1"/>
  <c r="J16" i="24"/>
  <c r="K12" i="23"/>
  <c r="I13" i="23"/>
  <c r="S21" i="22" s="1"/>
  <c r="I14" i="23"/>
  <c r="H16" i="24"/>
  <c r="I12" i="23"/>
  <c r="D16" i="24"/>
  <c r="E12" i="23"/>
  <c r="K14" i="23"/>
  <c r="K13" i="23"/>
  <c r="U21" i="22" s="1"/>
  <c r="G14" i="23"/>
  <c r="G13" i="23"/>
  <c r="Q21" i="22" s="1"/>
  <c r="K16" i="24"/>
  <c r="L12" i="23"/>
  <c r="G16" i="24"/>
  <c r="H12" i="23"/>
  <c r="C16" i="24"/>
  <c r="D12" i="23"/>
  <c r="J14" i="23"/>
  <c r="T21" i="22"/>
  <c r="F13" i="23"/>
  <c r="P21" i="22" s="1"/>
  <c r="F14" i="23"/>
  <c r="J26" i="24"/>
  <c r="K19" i="23"/>
  <c r="I26" i="24"/>
  <c r="J19" i="23"/>
  <c r="E26" i="24"/>
  <c r="D26" i="24"/>
  <c r="H26" i="24"/>
  <c r="K26" i="24"/>
  <c r="L19" i="23"/>
  <c r="G26" i="24"/>
  <c r="C26" i="24"/>
  <c r="F26" i="24"/>
  <c r="G20" i="4"/>
  <c r="K20" i="4" s="1"/>
  <c r="G24" i="4"/>
  <c r="K24" i="4" s="1"/>
  <c r="K21" i="4"/>
  <c r="G25" i="4"/>
  <c r="K25" i="4" s="1"/>
  <c r="K5" i="4"/>
  <c r="K18" i="4"/>
  <c r="G5" i="4"/>
  <c r="K22" i="4"/>
  <c r="G26" i="4"/>
  <c r="K26" i="4" s="1"/>
  <c r="G19" i="4"/>
  <c r="K19" i="4" s="1"/>
  <c r="G23" i="4"/>
  <c r="K23" i="4" s="1"/>
  <c r="J12" i="4"/>
  <c r="U25" i="22" s="1"/>
  <c r="J5" i="4"/>
  <c r="F12" i="4"/>
  <c r="Q25" i="22" s="1"/>
  <c r="F5" i="4"/>
  <c r="I5" i="4"/>
  <c r="E12" i="4"/>
  <c r="P25" i="22" s="1"/>
  <c r="E5" i="4"/>
  <c r="H5" i="4"/>
  <c r="D12" i="4"/>
  <c r="O25" i="22" s="1"/>
  <c r="D5" i="4"/>
  <c r="B16" i="20"/>
  <c r="K12" i="4"/>
  <c r="L20" i="23" s="1"/>
  <c r="K13" i="3"/>
  <c r="K12" i="3"/>
  <c r="H13" i="3"/>
  <c r="H12" i="3"/>
  <c r="J13" i="3"/>
  <c r="J12" i="3"/>
  <c r="I13" i="3"/>
  <c r="I12" i="3"/>
  <c r="E12" i="3"/>
  <c r="G13" i="3"/>
  <c r="E1" i="3"/>
  <c r="H16" i="2"/>
  <c r="D16" i="2"/>
  <c r="G16" i="2"/>
  <c r="I16" i="2"/>
  <c r="E16" i="2"/>
  <c r="K16" i="2"/>
  <c r="C16" i="2"/>
  <c r="J16" i="2"/>
  <c r="F16" i="2"/>
  <c r="L20" i="28" l="1"/>
  <c r="B22" i="20" s="1"/>
  <c r="B10" i="12" s="1"/>
  <c r="G33" i="11"/>
  <c r="AK9" i="27"/>
  <c r="AJ9" i="27"/>
  <c r="K15" i="27"/>
  <c r="G20" i="23"/>
  <c r="F28" i="24"/>
  <c r="F30" i="24" s="1"/>
  <c r="F32" i="24" s="1"/>
  <c r="D5" i="23"/>
  <c r="V17" i="22" s="1"/>
  <c r="AO9" i="27"/>
  <c r="K3" i="27" s="1"/>
  <c r="AL9" i="27"/>
  <c r="H3" i="27" s="1"/>
  <c r="F20" i="23"/>
  <c r="K20" i="23"/>
  <c r="E20" i="23"/>
  <c r="G28" i="24"/>
  <c r="G30" i="24" s="1"/>
  <c r="G32" i="24" s="1"/>
  <c r="AN9" i="27"/>
  <c r="J3" i="27" s="1"/>
  <c r="N5" i="24"/>
  <c r="L21" i="22"/>
  <c r="G18" i="23"/>
  <c r="I22" i="25"/>
  <c r="H15" i="27"/>
  <c r="H18" i="23"/>
  <c r="B35" i="25"/>
  <c r="I18" i="23"/>
  <c r="J18" i="23"/>
  <c r="B45" i="25"/>
  <c r="E18" i="23"/>
  <c r="O5" i="24"/>
  <c r="F18" i="23"/>
  <c r="M5" i="24"/>
  <c r="E22" i="25"/>
  <c r="J15" i="27"/>
  <c r="B21" i="20"/>
  <c r="G22" i="25"/>
  <c r="B25" i="25" s="1"/>
  <c r="I15" i="27"/>
  <c r="B19" i="20"/>
  <c r="B38" i="25"/>
  <c r="B48" i="25"/>
  <c r="G43" i="25" s="1"/>
  <c r="Q5" i="22"/>
  <c r="K18" i="23"/>
  <c r="L18" i="23"/>
  <c r="J28" i="24"/>
  <c r="J30" i="24" s="1"/>
  <c r="J32" i="24" s="1"/>
  <c r="V25" i="22"/>
  <c r="F6" i="27"/>
  <c r="L8" i="22"/>
  <c r="D6" i="27"/>
  <c r="J6" i="27"/>
  <c r="G3" i="27"/>
  <c r="F3" i="27"/>
  <c r="H6" i="27"/>
  <c r="B44" i="25"/>
  <c r="K30" i="24"/>
  <c r="K32" i="24" s="1"/>
  <c r="H30" i="24"/>
  <c r="H32" i="24" s="1"/>
  <c r="D30" i="24"/>
  <c r="D32" i="24" s="1"/>
  <c r="E30" i="24"/>
  <c r="E32" i="24" s="1"/>
  <c r="I30" i="24"/>
  <c r="I32" i="24" s="1"/>
  <c r="B36" i="25"/>
  <c r="H12" i="4"/>
  <c r="I12" i="4"/>
  <c r="B13" i="4" s="1"/>
  <c r="B46" i="25"/>
  <c r="D16" i="4"/>
  <c r="E14" i="4"/>
  <c r="F14" i="4"/>
  <c r="F16" i="4"/>
  <c r="D15" i="4"/>
  <c r="E15" i="4"/>
  <c r="K14" i="4"/>
  <c r="J16" i="4"/>
  <c r="J15" i="4"/>
  <c r="F15" i="4"/>
  <c r="E16" i="4"/>
  <c r="F15" i="9"/>
  <c r="K16" i="4"/>
  <c r="K15" i="4"/>
  <c r="C3" i="4"/>
  <c r="D26" i="4" s="1"/>
  <c r="I26" i="4" s="1"/>
  <c r="D3" i="4"/>
  <c r="D25" i="4" s="1"/>
  <c r="I25" i="4" s="1"/>
  <c r="E3" i="4"/>
  <c r="D24" i="4" s="1"/>
  <c r="I24" i="4" s="1"/>
  <c r="F3" i="4"/>
  <c r="D23" i="4" s="1"/>
  <c r="I23" i="4" s="1"/>
  <c r="G3" i="4"/>
  <c r="D22" i="4" s="1"/>
  <c r="I22" i="4" s="1"/>
  <c r="H3" i="4"/>
  <c r="D21" i="4" s="1"/>
  <c r="I21" i="4" s="1"/>
  <c r="I3" i="4"/>
  <c r="D20" i="4" s="1"/>
  <c r="I20" i="4" s="1"/>
  <c r="J3" i="4"/>
  <c r="D19" i="4" s="1"/>
  <c r="I19" i="4" s="1"/>
  <c r="K3" i="4"/>
  <c r="D18" i="4" s="1"/>
  <c r="I18" i="4" s="1"/>
  <c r="C3" i="2"/>
  <c r="D3" i="2"/>
  <c r="E3" i="2"/>
  <c r="F3" i="2"/>
  <c r="G3" i="2"/>
  <c r="H3" i="2"/>
  <c r="I3" i="2"/>
  <c r="J3" i="2"/>
  <c r="K3" i="2"/>
  <c r="C3" i="3"/>
  <c r="D3" i="3"/>
  <c r="E3" i="3"/>
  <c r="F3" i="3"/>
  <c r="G3" i="3"/>
  <c r="H3" i="3"/>
  <c r="I3" i="3"/>
  <c r="J3" i="3"/>
  <c r="K3" i="3"/>
  <c r="L5" i="22" l="1"/>
  <c r="B68" i="11"/>
  <c r="R33" i="11"/>
  <c r="R34" i="11" s="1"/>
  <c r="I33" i="11"/>
  <c r="S25" i="22"/>
  <c r="I20" i="23"/>
  <c r="T25" i="22"/>
  <c r="J20" i="23"/>
  <c r="I2" i="28"/>
  <c r="I2" i="13" s="1"/>
  <c r="I2" i="29" s="1"/>
  <c r="I2" i="27"/>
  <c r="AM2" i="27" s="1"/>
  <c r="E2" i="28"/>
  <c r="E2" i="13" s="1"/>
  <c r="E2" i="29" s="1"/>
  <c r="E2" i="27"/>
  <c r="AI2" i="27" s="1"/>
  <c r="H2" i="28"/>
  <c r="H2" i="13" s="1"/>
  <c r="H2" i="29" s="1"/>
  <c r="H2" i="27"/>
  <c r="AL2" i="27" s="1"/>
  <c r="D2" i="28"/>
  <c r="D2" i="13" s="1"/>
  <c r="D2" i="29" s="1"/>
  <c r="D2" i="27"/>
  <c r="AH2" i="27" s="1"/>
  <c r="K2" i="28"/>
  <c r="K2" i="13" s="1"/>
  <c r="K2" i="29" s="1"/>
  <c r="K2" i="27"/>
  <c r="AO2" i="27" s="1"/>
  <c r="G2" i="28"/>
  <c r="G2" i="13" s="1"/>
  <c r="G2" i="29" s="1"/>
  <c r="G2" i="27"/>
  <c r="AK2" i="27" s="1"/>
  <c r="C2" i="28"/>
  <c r="C2" i="13" s="1"/>
  <c r="C2" i="29" s="1"/>
  <c r="C2" i="27"/>
  <c r="AG2" i="27" s="1"/>
  <c r="J2" i="28"/>
  <c r="J2" i="13" s="1"/>
  <c r="J2" i="29" s="1"/>
  <c r="J2" i="27"/>
  <c r="AN2" i="27" s="1"/>
  <c r="F2" i="28"/>
  <c r="F2" i="13" s="1"/>
  <c r="F2" i="29" s="1"/>
  <c r="F2" i="27"/>
  <c r="AJ2" i="27" s="1"/>
  <c r="E29" i="28"/>
  <c r="I15" i="4"/>
  <c r="B38" i="24"/>
  <c r="V23" i="22" s="1"/>
  <c r="I14" i="4"/>
  <c r="H16" i="4"/>
  <c r="H15" i="4"/>
  <c r="I16" i="4"/>
  <c r="J14" i="4"/>
  <c r="U27" i="22"/>
  <c r="Q27" i="22"/>
  <c r="P27" i="22"/>
  <c r="X27" i="22"/>
  <c r="S27" i="22"/>
  <c r="T27" i="22"/>
  <c r="W27" i="22"/>
  <c r="V27" i="22"/>
  <c r="R27" i="22"/>
  <c r="D21" i="25"/>
  <c r="D31" i="25" s="1"/>
  <c r="D41" i="25" s="1"/>
  <c r="D8" i="24"/>
  <c r="K21" i="25"/>
  <c r="K31" i="25" s="1"/>
  <c r="K41" i="25" s="1"/>
  <c r="K8" i="24"/>
  <c r="G21" i="25"/>
  <c r="G31" i="25" s="1"/>
  <c r="G41" i="25" s="1"/>
  <c r="G8" i="24"/>
  <c r="C21" i="25"/>
  <c r="C31" i="25" s="1"/>
  <c r="C41" i="25" s="1"/>
  <c r="C8" i="24"/>
  <c r="J21" i="25"/>
  <c r="J31" i="25" s="1"/>
  <c r="J41" i="25" s="1"/>
  <c r="J8" i="24"/>
  <c r="F21" i="25"/>
  <c r="F31" i="25" s="1"/>
  <c r="F41" i="25" s="1"/>
  <c r="F8" i="24"/>
  <c r="I21" i="25"/>
  <c r="I31" i="25" s="1"/>
  <c r="I41" i="25" s="1"/>
  <c r="I8" i="24"/>
  <c r="E21" i="25"/>
  <c r="E31" i="25" s="1"/>
  <c r="E41" i="25" s="1"/>
  <c r="E8" i="24"/>
  <c r="H21" i="25"/>
  <c r="H31" i="25" s="1"/>
  <c r="H41" i="25" s="1"/>
  <c r="H8" i="24"/>
  <c r="B8" i="4"/>
  <c r="L8" i="4" s="1"/>
  <c r="B7" i="4"/>
  <c r="B4" i="4"/>
  <c r="B3" i="4"/>
  <c r="D27" i="4" s="1"/>
  <c r="I27" i="4" s="1"/>
  <c r="B18" i="2"/>
  <c r="B13" i="2"/>
  <c r="B12" i="2"/>
  <c r="B11" i="2"/>
  <c r="B10" i="2"/>
  <c r="B8" i="2"/>
  <c r="B12" i="24" s="1"/>
  <c r="B14" i="24" s="1"/>
  <c r="B7" i="2"/>
  <c r="B3" i="2"/>
  <c r="J17" i="3"/>
  <c r="H17" i="3"/>
  <c r="F17" i="3"/>
  <c r="D17" i="3"/>
  <c r="B15" i="3"/>
  <c r="F16" i="3" s="1"/>
  <c r="B11" i="3"/>
  <c r="B10" i="3"/>
  <c r="B9" i="3"/>
  <c r="B8" i="3"/>
  <c r="B4" i="3"/>
  <c r="F5" i="3" s="1"/>
  <c r="B3" i="3"/>
  <c r="P2" i="28" l="1"/>
  <c r="R35" i="11"/>
  <c r="I29" i="28"/>
  <c r="X2" i="28"/>
  <c r="H29" i="28"/>
  <c r="F29" i="28"/>
  <c r="B9" i="4"/>
  <c r="C19" i="23"/>
  <c r="C29" i="28"/>
  <c r="U2" i="28"/>
  <c r="K29" i="28"/>
  <c r="C8" i="23"/>
  <c r="K17" i="27"/>
  <c r="S2" i="28"/>
  <c r="Q2" i="28"/>
  <c r="V2" i="28"/>
  <c r="G29" i="28"/>
  <c r="W2" i="28"/>
  <c r="T2" i="28"/>
  <c r="D29" i="28"/>
  <c r="R2" i="28"/>
  <c r="B2" i="28"/>
  <c r="B2" i="13" s="1"/>
  <c r="B2" i="29" s="1"/>
  <c r="B2" i="27"/>
  <c r="AF2" i="27" s="1"/>
  <c r="B4" i="11"/>
  <c r="B14" i="25"/>
  <c r="B18" i="25" s="1"/>
  <c r="G13" i="25" s="1"/>
  <c r="J29" i="28"/>
  <c r="C11" i="23"/>
  <c r="P11" i="23" s="1"/>
  <c r="AF7" i="27"/>
  <c r="AG9" i="27" s="1"/>
  <c r="C3" i="27" s="1"/>
  <c r="C11" i="4"/>
  <c r="B29" i="28"/>
  <c r="E24" i="24"/>
  <c r="E4" i="24"/>
  <c r="F24" i="24"/>
  <c r="F4" i="24"/>
  <c r="C24" i="24"/>
  <c r="C4" i="24"/>
  <c r="K24" i="24"/>
  <c r="K4" i="24"/>
  <c r="AF8" i="27"/>
  <c r="B6" i="27" s="1"/>
  <c r="B10" i="4"/>
  <c r="L10" i="4" s="1"/>
  <c r="C17" i="23"/>
  <c r="M10" i="22"/>
  <c r="L10" i="22" s="1"/>
  <c r="M12" i="24"/>
  <c r="N12" i="24"/>
  <c r="O12" i="24"/>
  <c r="H24" i="24"/>
  <c r="H4" i="24"/>
  <c r="I24" i="24"/>
  <c r="I4" i="24"/>
  <c r="J24" i="24"/>
  <c r="J4" i="24"/>
  <c r="G24" i="24"/>
  <c r="G4" i="24"/>
  <c r="D24" i="24"/>
  <c r="D4" i="24"/>
  <c r="C14" i="24"/>
  <c r="C18" i="24" s="1"/>
  <c r="N12" i="22" s="1"/>
  <c r="K18" i="24"/>
  <c r="B33" i="11" s="1"/>
  <c r="K4" i="27"/>
  <c r="H14" i="24"/>
  <c r="H18" i="24" s="1"/>
  <c r="S12" i="22" s="1"/>
  <c r="G14" i="24"/>
  <c r="G18" i="24" s="1"/>
  <c r="E14" i="24"/>
  <c r="E18" i="24" s="1"/>
  <c r="D14" i="24"/>
  <c r="D18" i="24" s="1"/>
  <c r="O12" i="22" s="1"/>
  <c r="J14" i="24"/>
  <c r="J18" i="24" s="1"/>
  <c r="U12" i="22" s="1"/>
  <c r="J4" i="27"/>
  <c r="F14" i="24"/>
  <c r="F18" i="24" s="1"/>
  <c r="Q12" i="22" s="1"/>
  <c r="C8" i="9"/>
  <c r="D8" i="9" s="1"/>
  <c r="K8" i="9"/>
  <c r="L8" i="9" s="1"/>
  <c r="O11" i="23"/>
  <c r="O27" i="22"/>
  <c r="L7" i="23"/>
  <c r="E7" i="23"/>
  <c r="F7" i="23"/>
  <c r="K7" i="23"/>
  <c r="G7" i="23"/>
  <c r="D7" i="23"/>
  <c r="I7" i="23"/>
  <c r="J7" i="23"/>
  <c r="H7" i="23"/>
  <c r="B21" i="25"/>
  <c r="B31" i="25" s="1"/>
  <c r="B41" i="25" s="1"/>
  <c r="B8" i="24"/>
  <c r="B4" i="24" s="1"/>
  <c r="C13" i="23"/>
  <c r="C14" i="23"/>
  <c r="B16" i="24"/>
  <c r="C12" i="23"/>
  <c r="O8" i="23"/>
  <c r="P8" i="23"/>
  <c r="N8" i="23"/>
  <c r="C5" i="4"/>
  <c r="G27" i="4"/>
  <c r="K27" i="4" s="1"/>
  <c r="L7" i="4"/>
  <c r="E27" i="4"/>
  <c r="L4" i="4"/>
  <c r="F13" i="3"/>
  <c r="B12" i="3"/>
  <c r="B16" i="2"/>
  <c r="B17" i="3"/>
  <c r="E17" i="3"/>
  <c r="I17" i="3"/>
  <c r="C17" i="3"/>
  <c r="G17" i="3"/>
  <c r="K17" i="3"/>
  <c r="G33" i="25"/>
  <c r="A2" i="4"/>
  <c r="M36" i="11" l="1"/>
  <c r="M38" i="11"/>
  <c r="M35" i="11"/>
  <c r="M40" i="11"/>
  <c r="N40" i="11" s="1"/>
  <c r="S40" i="11" s="1"/>
  <c r="M34" i="11"/>
  <c r="M41" i="11"/>
  <c r="M39" i="11"/>
  <c r="N39" i="11" s="1"/>
  <c r="S39" i="11" s="1"/>
  <c r="M43" i="11"/>
  <c r="N43" i="11" s="1"/>
  <c r="S43" i="11" s="1"/>
  <c r="M37" i="11"/>
  <c r="M42" i="11"/>
  <c r="M33" i="11"/>
  <c r="N33" i="11" s="1"/>
  <c r="S33" i="11" s="1"/>
  <c r="T33" i="11" s="1"/>
  <c r="N35" i="11"/>
  <c r="S35" i="11" s="1"/>
  <c r="T35" i="11" s="1"/>
  <c r="U35" i="11" s="1"/>
  <c r="N36" i="11"/>
  <c r="S36" i="11" s="1"/>
  <c r="N37" i="11"/>
  <c r="S37" i="11" s="1"/>
  <c r="N41" i="11"/>
  <c r="S41" i="11" s="1"/>
  <c r="N34" i="11"/>
  <c r="S34" i="11" s="1"/>
  <c r="T34" i="11" s="1"/>
  <c r="U34" i="11" s="1"/>
  <c r="N38" i="11"/>
  <c r="S38" i="11" s="1"/>
  <c r="N42" i="11"/>
  <c r="S42" i="11" s="1"/>
  <c r="R36" i="11"/>
  <c r="N11" i="23"/>
  <c r="O2" i="28"/>
  <c r="V12" i="22"/>
  <c r="G6" i="12"/>
  <c r="D16" i="23"/>
  <c r="D18" i="23"/>
  <c r="N18" i="23" s="1"/>
  <c r="C28" i="24"/>
  <c r="C30" i="24" s="1"/>
  <c r="C32" i="24" s="1"/>
  <c r="C12" i="4"/>
  <c r="D20" i="23" s="1"/>
  <c r="O16" i="24"/>
  <c r="M16" i="24"/>
  <c r="N16" i="24"/>
  <c r="K6" i="12"/>
  <c r="C6" i="12"/>
  <c r="H6" i="12"/>
  <c r="J6" i="12"/>
  <c r="F6" i="12"/>
  <c r="D6" i="12"/>
  <c r="F4" i="27"/>
  <c r="H8" i="27"/>
  <c r="D4" i="27"/>
  <c r="F8" i="27"/>
  <c r="G4" i="27"/>
  <c r="R12" i="22"/>
  <c r="I14" i="24"/>
  <c r="I18" i="24" s="1"/>
  <c r="T12" i="22" s="1"/>
  <c r="I8" i="27"/>
  <c r="E4" i="27"/>
  <c r="G8" i="27"/>
  <c r="H4" i="27"/>
  <c r="J8" i="27"/>
  <c r="C4" i="27"/>
  <c r="E8" i="27"/>
  <c r="E6" i="12"/>
  <c r="P12" i="22"/>
  <c r="K9" i="9"/>
  <c r="L9" i="9" s="1"/>
  <c r="C9" i="9"/>
  <c r="D9" i="9" s="1"/>
  <c r="O15" i="23"/>
  <c r="C7" i="23"/>
  <c r="O18" i="23"/>
  <c r="P18" i="23"/>
  <c r="N14" i="23"/>
  <c r="P14" i="23"/>
  <c r="O14" i="23"/>
  <c r="P12" i="23"/>
  <c r="N12" i="23"/>
  <c r="O12" i="23"/>
  <c r="M21" i="22"/>
  <c r="N13" i="23"/>
  <c r="O13" i="23"/>
  <c r="P13" i="23"/>
  <c r="O19" i="23"/>
  <c r="P19" i="23"/>
  <c r="N19" i="23"/>
  <c r="P17" i="23"/>
  <c r="O17" i="23"/>
  <c r="N17" i="23"/>
  <c r="R37" i="11" l="1"/>
  <c r="T36" i="11"/>
  <c r="U36" i="11" s="1"/>
  <c r="B36" i="11"/>
  <c r="D36" i="11" s="1"/>
  <c r="C16" i="11" s="1"/>
  <c r="B37" i="11"/>
  <c r="D37" i="11" s="1"/>
  <c r="C17" i="11" s="1"/>
  <c r="D33" i="11"/>
  <c r="B34" i="11"/>
  <c r="D34" i="11" s="1"/>
  <c r="G34" i="11" s="1"/>
  <c r="B35" i="11"/>
  <c r="D35" i="11" s="1"/>
  <c r="C15" i="11" s="1"/>
  <c r="B38" i="11"/>
  <c r="C10" i="9"/>
  <c r="D10" i="9" s="1"/>
  <c r="P16" i="23"/>
  <c r="O16" i="23"/>
  <c r="N16" i="23"/>
  <c r="N25" i="22"/>
  <c r="C16" i="4"/>
  <c r="C15" i="4"/>
  <c r="D14" i="4"/>
  <c r="B20" i="20"/>
  <c r="I6" i="12"/>
  <c r="B41" i="24"/>
  <c r="B4" i="27"/>
  <c r="I4" i="27"/>
  <c r="K8" i="27"/>
  <c r="K10" i="9"/>
  <c r="L10" i="9" s="1"/>
  <c r="N15" i="23"/>
  <c r="P15" i="23"/>
  <c r="B26" i="25"/>
  <c r="B24" i="25"/>
  <c r="R38" i="11" l="1"/>
  <c r="T37" i="11"/>
  <c r="U37" i="11" s="1"/>
  <c r="I34" i="11"/>
  <c r="G35" i="11"/>
  <c r="B54" i="11"/>
  <c r="B55" i="11" s="1"/>
  <c r="C14" i="11"/>
  <c r="B14" i="11" s="1"/>
  <c r="D14" i="11" s="1"/>
  <c r="B40" i="11"/>
  <c r="B41" i="11"/>
  <c r="D38" i="11"/>
  <c r="B39" i="11"/>
  <c r="B42" i="11"/>
  <c r="C11" i="9"/>
  <c r="D11" i="9" s="1"/>
  <c r="B18" i="24"/>
  <c r="B6" i="12" s="1"/>
  <c r="N14" i="24"/>
  <c r="O14" i="24"/>
  <c r="M14" i="24"/>
  <c r="K11" i="9"/>
  <c r="L11" i="9" s="1"/>
  <c r="J34" i="11" l="1"/>
  <c r="R39" i="11"/>
  <c r="T38" i="11"/>
  <c r="U38" i="11" s="1"/>
  <c r="G36" i="11"/>
  <c r="I35" i="11"/>
  <c r="J35" i="11" s="1"/>
  <c r="D54" i="11"/>
  <c r="B15" i="11"/>
  <c r="C18" i="11"/>
  <c r="D39" i="11"/>
  <c r="C19" i="11" s="1"/>
  <c r="D41" i="11"/>
  <c r="C21" i="11" s="1"/>
  <c r="D42" i="11"/>
  <c r="C22" i="11" s="1"/>
  <c r="D40" i="11"/>
  <c r="C20" i="11" s="1"/>
  <c r="D55" i="11"/>
  <c r="B56" i="11"/>
  <c r="C12" i="9"/>
  <c r="D12" i="9" s="1"/>
  <c r="M12" i="22"/>
  <c r="L12" i="22" s="1"/>
  <c r="M18" i="24"/>
  <c r="N18" i="24"/>
  <c r="O18" i="24"/>
  <c r="K12" i="9"/>
  <c r="L12" i="9" s="1"/>
  <c r="C13" i="9" l="1"/>
  <c r="D13" i="9" s="1"/>
  <c r="R40" i="11"/>
  <c r="T39" i="11"/>
  <c r="U39" i="11" s="1"/>
  <c r="G37" i="11"/>
  <c r="I36" i="11"/>
  <c r="J36" i="11" s="1"/>
  <c r="P16" i="24"/>
  <c r="P10" i="24"/>
  <c r="B16" i="11"/>
  <c r="D15" i="11"/>
  <c r="D56" i="11"/>
  <c r="B57" i="11"/>
  <c r="K13" i="9"/>
  <c r="L13" i="9" s="1"/>
  <c r="B28" i="25"/>
  <c r="G23" i="25" s="1"/>
  <c r="B6" i="25"/>
  <c r="B10" i="25" s="1"/>
  <c r="G5" i="25" s="1"/>
  <c r="C14" i="9"/>
  <c r="D14" i="9" s="1"/>
  <c r="R41" i="11" l="1"/>
  <c r="T40" i="11"/>
  <c r="U40" i="11" s="1"/>
  <c r="G38" i="11"/>
  <c r="I37" i="11"/>
  <c r="P12" i="24"/>
  <c r="D16" i="11"/>
  <c r="B17" i="11"/>
  <c r="D57" i="11"/>
  <c r="B58" i="11"/>
  <c r="K14" i="9"/>
  <c r="L14" i="9" s="1"/>
  <c r="C15" i="9"/>
  <c r="D15" i="9" s="1"/>
  <c r="J37" i="11" l="1"/>
  <c r="T41" i="11"/>
  <c r="U41" i="11" s="1"/>
  <c r="R42" i="11"/>
  <c r="I38" i="11"/>
  <c r="J38" i="11" s="1"/>
  <c r="G39" i="11"/>
  <c r="D17" i="11"/>
  <c r="B18" i="11"/>
  <c r="D58" i="11"/>
  <c r="B59" i="11"/>
  <c r="K15" i="9"/>
  <c r="L15" i="9" s="1"/>
  <c r="C16" i="9"/>
  <c r="D16" i="9" s="1"/>
  <c r="G12" i="4"/>
  <c r="H20" i="23" s="1"/>
  <c r="T42" i="11" l="1"/>
  <c r="U42" i="11" s="1"/>
  <c r="R43" i="11"/>
  <c r="T43" i="11" s="1"/>
  <c r="U43" i="11" s="1"/>
  <c r="G40" i="11"/>
  <c r="I39" i="11"/>
  <c r="J39" i="11" s="1"/>
  <c r="B19" i="11"/>
  <c r="D18" i="11"/>
  <c r="D59" i="11"/>
  <c r="B60" i="11"/>
  <c r="N20" i="23"/>
  <c r="P20" i="23"/>
  <c r="O20" i="23"/>
  <c r="K16" i="9"/>
  <c r="L16" i="9" s="1"/>
  <c r="L12" i="4"/>
  <c r="R25" i="22"/>
  <c r="L25" i="22" s="1"/>
  <c r="G14" i="4"/>
  <c r="H14" i="4"/>
  <c r="G16" i="4"/>
  <c r="G15" i="4"/>
  <c r="C17" i="9"/>
  <c r="D17" i="9" s="1"/>
  <c r="U44" i="11" l="1"/>
  <c r="T65" i="11" s="1"/>
  <c r="T44" i="11"/>
  <c r="T57" i="11" s="1"/>
  <c r="G41" i="11"/>
  <c r="I40" i="11"/>
  <c r="D19" i="11"/>
  <c r="B20" i="11"/>
  <c r="D60" i="11"/>
  <c r="B61" i="11"/>
  <c r="K17" i="9"/>
  <c r="L17" i="9" s="1"/>
  <c r="C18" i="9"/>
  <c r="D18" i="9" s="1"/>
  <c r="J40" i="11" l="1"/>
  <c r="G42" i="11"/>
  <c r="I41" i="11"/>
  <c r="J41" i="11" s="1"/>
  <c r="K18" i="9"/>
  <c r="L18" i="9" s="1"/>
  <c r="L19" i="9" s="1"/>
  <c r="C5" i="10" s="1"/>
  <c r="E5" i="10" s="1"/>
  <c r="L22" i="9" s="1"/>
  <c r="D20" i="11"/>
  <c r="B21" i="11"/>
  <c r="D61" i="11"/>
  <c r="B62" i="11"/>
  <c r="D19" i="9"/>
  <c r="B5" i="10" s="1"/>
  <c r="D5" i="10" s="1"/>
  <c r="D22" i="9" l="1"/>
  <c r="G43" i="11"/>
  <c r="I42" i="11"/>
  <c r="J42" i="11" s="1"/>
  <c r="B22" i="11"/>
  <c r="D21" i="11"/>
  <c r="D62" i="11"/>
  <c r="B63" i="11"/>
  <c r="D63" i="11" s="1"/>
  <c r="L21" i="9"/>
  <c r="M16" i="9" s="1"/>
  <c r="D21" i="9"/>
  <c r="E16" i="9" s="1"/>
  <c r="I53" i="11" l="1"/>
  <c r="D23" i="12" s="1"/>
  <c r="I43" i="11"/>
  <c r="B23" i="11"/>
  <c r="D22" i="11"/>
  <c r="L10" i="28"/>
  <c r="J43" i="11" l="1"/>
  <c r="J44" i="11" s="1"/>
  <c r="I65" i="11" s="1"/>
  <c r="I44" i="11"/>
  <c r="I57" i="11" s="1"/>
  <c r="B63" i="12"/>
  <c r="G14" i="11"/>
  <c r="G16" i="11" s="1"/>
  <c r="D23" i="11"/>
  <c r="G15" i="11" s="1"/>
  <c r="B8" i="12" l="1"/>
  <c r="G17" i="11"/>
  <c r="B6" i="10" s="1"/>
  <c r="D6" i="10" s="1"/>
  <c r="B9" i="12" l="1"/>
  <c r="B12" i="12" s="1"/>
  <c r="T61" i="11" s="1"/>
  <c r="T63" i="11" s="1"/>
  <c r="T67" i="11" s="1"/>
  <c r="T69" i="11" s="1"/>
  <c r="B23" i="12"/>
  <c r="D8" i="10"/>
  <c r="B8" i="10" s="1"/>
  <c r="E4" i="11"/>
  <c r="E6" i="11" s="1"/>
  <c r="G20" i="11"/>
  <c r="H13" i="11" s="1"/>
  <c r="I61" i="11" l="1"/>
  <c r="I63" i="11" s="1"/>
  <c r="I67" i="11" s="1"/>
  <c r="I69" i="11" s="1"/>
  <c r="T47" i="11"/>
  <c r="T48" i="11" s="1"/>
  <c r="T49" i="11" s="1"/>
  <c r="I48" i="11"/>
  <c r="I49" i="11" s="1"/>
  <c r="I47" i="11"/>
  <c r="B19" i="12"/>
  <c r="I59" i="11"/>
  <c r="T59" i="11"/>
  <c r="B20" i="12"/>
  <c r="B14" i="12" l="1"/>
  <c r="U53" i="11"/>
  <c r="J53" i="11"/>
  <c r="B17" i="12"/>
  <c r="G23" i="12"/>
  <c r="T55" i="11" l="1"/>
  <c r="E23" i="12"/>
  <c r="I55" i="11"/>
  <c r="D12" i="12"/>
  <c r="B7" i="10"/>
  <c r="D7" i="10" s="1"/>
  <c r="B17" i="10" s="1"/>
  <c r="B19" i="10" l="1"/>
  <c r="L21" i="12" s="1"/>
  <c r="B18" i="10"/>
  <c r="C18" i="10" s="1"/>
  <c r="C17" i="10"/>
  <c r="G9" i="10"/>
  <c r="B21" i="12"/>
  <c r="J23" i="12"/>
  <c r="B18" i="12"/>
  <c r="B22" i="12" s="1"/>
  <c r="L12" i="12"/>
  <c r="C19" i="10"/>
  <c r="B12" i="10" l="1"/>
  <c r="C12" i="10" s="1"/>
  <c r="B14" i="10"/>
  <c r="B13" i="10"/>
  <c r="AK15" i="10"/>
  <c r="H12" i="10"/>
  <c r="H14" i="10"/>
  <c r="H13" i="10" l="1"/>
  <c r="H15" i="10" s="1"/>
  <c r="H18" i="10" s="1"/>
  <c r="C14" i="10"/>
  <c r="C13" i="10"/>
  <c r="AK14" i="10"/>
  <c r="AL7" i="10" s="1"/>
  <c r="AH15" i="10" l="1"/>
  <c r="H19" i="10"/>
  <c r="H17" i="10"/>
  <c r="AH16" i="10"/>
  <c r="AH17" i="10"/>
  <c r="H20" i="10" l="1"/>
  <c r="L20" i="10" s="1"/>
  <c r="AH18" i="10"/>
  <c r="I20" i="10" s="1"/>
</calcChain>
</file>

<file path=xl/comments1.xml><?xml version="1.0" encoding="utf-8"?>
<comments xmlns="http://schemas.openxmlformats.org/spreadsheetml/2006/main">
  <authors>
    <author>Vishnu</author>
  </authors>
  <commentList>
    <comment ref="L14" authorId="0">
      <text>
        <r>
          <rPr>
            <b/>
            <sz val="9"/>
            <color indexed="81"/>
            <rFont val="Tahoma"/>
            <family val="2"/>
          </rPr>
          <t>Vishnu:</t>
        </r>
        <r>
          <rPr>
            <sz val="9"/>
            <color indexed="81"/>
            <rFont val="Tahoma"/>
            <family val="2"/>
          </rPr>
          <t xml:space="preserve">
</t>
        </r>
        <r>
          <rPr>
            <sz val="11"/>
            <color indexed="81"/>
            <rFont val="Tahoma"/>
            <family val="2"/>
          </rPr>
          <t>Less than 3 red colour cells = Consistent Growth
3 red colour cells = Cyclical company
More than 3 red colour cells = Erratic Growth</t>
        </r>
      </text>
    </comment>
    <comment ref="M14" authorId="0">
      <text>
        <r>
          <rPr>
            <b/>
            <sz val="9"/>
            <color indexed="81"/>
            <rFont val="Tahoma"/>
            <family val="2"/>
          </rPr>
          <t>Vishnu:
INTENTIONALLY LEFT BLANK</t>
        </r>
      </text>
    </comment>
    <comment ref="L17" authorId="0">
      <text>
        <r>
          <rPr>
            <b/>
            <sz val="9"/>
            <color indexed="81"/>
            <rFont val="Tahoma"/>
            <family val="2"/>
          </rPr>
          <t>Vishnu:</t>
        </r>
        <r>
          <rPr>
            <sz val="9"/>
            <color indexed="81"/>
            <rFont val="Tahoma"/>
            <family val="2"/>
          </rPr>
          <t xml:space="preserve">
</t>
        </r>
        <r>
          <rPr>
            <sz val="11"/>
            <color indexed="81"/>
            <rFont val="Tahoma"/>
            <family val="2"/>
          </rPr>
          <t>If Debt to Equity Ratio = "</t>
        </r>
        <r>
          <rPr>
            <b/>
            <sz val="11"/>
            <color indexed="81"/>
            <rFont val="Tahoma"/>
            <family val="2"/>
          </rPr>
          <t>0</t>
        </r>
        <r>
          <rPr>
            <sz val="11"/>
            <color indexed="81"/>
            <rFont val="Tahoma"/>
            <family val="2"/>
          </rPr>
          <t>", then "</t>
        </r>
        <r>
          <rPr>
            <b/>
            <sz val="11"/>
            <color indexed="81"/>
            <rFont val="Tahoma"/>
            <family val="2"/>
          </rPr>
          <t>DEBT-FREE</t>
        </r>
        <r>
          <rPr>
            <sz val="11"/>
            <color indexed="81"/>
            <rFont val="Tahoma"/>
            <family val="2"/>
          </rPr>
          <t>"
If Debt to Equity Ratio is in between "</t>
        </r>
        <r>
          <rPr>
            <b/>
            <sz val="11"/>
            <color indexed="81"/>
            <rFont val="Tahoma"/>
            <family val="2"/>
          </rPr>
          <t>0</t>
        </r>
        <r>
          <rPr>
            <sz val="11"/>
            <color indexed="81"/>
            <rFont val="Tahoma"/>
            <family val="2"/>
          </rPr>
          <t>" and "</t>
        </r>
        <r>
          <rPr>
            <b/>
            <sz val="11"/>
            <color indexed="81"/>
            <rFont val="Tahoma"/>
            <family val="2"/>
          </rPr>
          <t>0.25</t>
        </r>
        <r>
          <rPr>
            <sz val="11"/>
            <color indexed="81"/>
            <rFont val="Tahoma"/>
            <family val="2"/>
          </rPr>
          <t>", then "</t>
        </r>
        <r>
          <rPr>
            <b/>
            <sz val="11"/>
            <color indexed="81"/>
            <rFont val="Tahoma"/>
            <family val="2"/>
          </rPr>
          <t>LOW-DEBT</t>
        </r>
        <r>
          <rPr>
            <sz val="11"/>
            <color indexed="81"/>
            <rFont val="Tahoma"/>
            <family val="2"/>
          </rPr>
          <t>"
If Debt to Equity Ratio is in between "</t>
        </r>
        <r>
          <rPr>
            <b/>
            <sz val="11"/>
            <color indexed="81"/>
            <rFont val="Tahoma"/>
            <family val="2"/>
          </rPr>
          <t>0.25</t>
        </r>
        <r>
          <rPr>
            <sz val="11"/>
            <color indexed="81"/>
            <rFont val="Tahoma"/>
            <family val="2"/>
          </rPr>
          <t>" and "</t>
        </r>
        <r>
          <rPr>
            <b/>
            <sz val="11"/>
            <color indexed="81"/>
            <rFont val="Tahoma"/>
            <family val="2"/>
          </rPr>
          <t>0.5</t>
        </r>
        <r>
          <rPr>
            <sz val="11"/>
            <color indexed="81"/>
            <rFont val="Tahoma"/>
            <family val="2"/>
          </rPr>
          <t>", then "</t>
        </r>
        <r>
          <rPr>
            <b/>
            <sz val="11"/>
            <color indexed="81"/>
            <rFont val="Tahoma"/>
            <family val="2"/>
          </rPr>
          <t>MODERATELY LOW-DEBT</t>
        </r>
        <r>
          <rPr>
            <sz val="11"/>
            <color indexed="81"/>
            <rFont val="Tahoma"/>
            <family val="2"/>
          </rPr>
          <t>"
If Debt to Equity Ratio is between "</t>
        </r>
        <r>
          <rPr>
            <b/>
            <sz val="11"/>
            <color indexed="81"/>
            <rFont val="Tahoma"/>
            <family val="2"/>
          </rPr>
          <t>0.5</t>
        </r>
        <r>
          <rPr>
            <sz val="11"/>
            <color indexed="81"/>
            <rFont val="Tahoma"/>
            <family val="2"/>
          </rPr>
          <t>" and  "</t>
        </r>
        <r>
          <rPr>
            <b/>
            <sz val="11"/>
            <color indexed="81"/>
            <rFont val="Tahoma"/>
            <family val="2"/>
          </rPr>
          <t>0.75</t>
        </r>
        <r>
          <rPr>
            <sz val="11"/>
            <color indexed="81"/>
            <rFont val="Tahoma"/>
            <family val="2"/>
          </rPr>
          <t>", then "</t>
        </r>
        <r>
          <rPr>
            <b/>
            <sz val="11"/>
            <color indexed="81"/>
            <rFont val="Tahoma"/>
            <family val="2"/>
          </rPr>
          <t>MODERATE-DEBT</t>
        </r>
        <r>
          <rPr>
            <sz val="11"/>
            <color indexed="81"/>
            <rFont val="Tahoma"/>
            <family val="2"/>
          </rPr>
          <t>"
If Debt to Equity Ratio is between "</t>
        </r>
        <r>
          <rPr>
            <b/>
            <sz val="11"/>
            <color indexed="81"/>
            <rFont val="Tahoma"/>
            <family val="2"/>
          </rPr>
          <t>0.75</t>
        </r>
        <r>
          <rPr>
            <sz val="11"/>
            <color indexed="81"/>
            <rFont val="Tahoma"/>
            <family val="2"/>
          </rPr>
          <t>"  and "</t>
        </r>
        <r>
          <rPr>
            <b/>
            <sz val="11"/>
            <color indexed="81"/>
            <rFont val="Tahoma"/>
            <family val="2"/>
          </rPr>
          <t>1</t>
        </r>
        <r>
          <rPr>
            <sz val="11"/>
            <color indexed="81"/>
            <rFont val="Tahoma"/>
            <family val="2"/>
          </rPr>
          <t>", then "</t>
        </r>
        <r>
          <rPr>
            <b/>
            <sz val="11"/>
            <color indexed="81"/>
            <rFont val="Tahoma"/>
            <family val="2"/>
          </rPr>
          <t>MODERATELY HIGH-DEBT</t>
        </r>
        <r>
          <rPr>
            <sz val="11"/>
            <color indexed="81"/>
            <rFont val="Tahoma"/>
            <family val="2"/>
          </rPr>
          <t>"
If Debt to Equity Ratio is greater than "</t>
        </r>
        <r>
          <rPr>
            <b/>
            <sz val="11"/>
            <color indexed="81"/>
            <rFont val="Tahoma"/>
            <family val="2"/>
          </rPr>
          <t>1"</t>
        </r>
        <r>
          <rPr>
            <sz val="11"/>
            <color indexed="81"/>
            <rFont val="Tahoma"/>
            <family val="2"/>
          </rPr>
          <t>, then "</t>
        </r>
        <r>
          <rPr>
            <b/>
            <sz val="11"/>
            <color indexed="81"/>
            <rFont val="Tahoma"/>
            <family val="2"/>
          </rPr>
          <t>HIGH-DEBT</t>
        </r>
        <r>
          <rPr>
            <sz val="11"/>
            <color indexed="81"/>
            <rFont val="Tahoma"/>
            <family val="2"/>
          </rPr>
          <t>"</t>
        </r>
      </text>
    </comment>
    <comment ref="U17" authorId="0">
      <text>
        <r>
          <rPr>
            <b/>
            <sz val="9"/>
            <color indexed="81"/>
            <rFont val="Tahoma"/>
            <family val="2"/>
          </rPr>
          <t>Vishnu:</t>
        </r>
        <r>
          <rPr>
            <sz val="9"/>
            <color indexed="81"/>
            <rFont val="Tahoma"/>
            <family val="2"/>
          </rPr>
          <t xml:space="preserve">
Interest coverage ratio above 10 is good</t>
        </r>
      </text>
    </comment>
    <comment ref="L23" authorId="0">
      <text>
        <r>
          <rPr>
            <b/>
            <sz val="9"/>
            <color indexed="81"/>
            <rFont val="Tahoma"/>
            <family val="2"/>
          </rPr>
          <t>Vishnu:</t>
        </r>
        <r>
          <rPr>
            <sz val="9"/>
            <color indexed="81"/>
            <rFont val="Tahoma"/>
            <family val="2"/>
          </rPr>
          <t xml:space="preserve">
</t>
        </r>
        <r>
          <rPr>
            <sz val="11"/>
            <color indexed="81"/>
            <rFont val="Tahoma"/>
            <family val="2"/>
          </rPr>
          <t>Read notes to financial statements in the Annual Report</t>
        </r>
      </text>
    </comment>
    <comment ref="M25" authorId="0">
      <text>
        <r>
          <rPr>
            <b/>
            <sz val="9"/>
            <color indexed="81"/>
            <rFont val="Tahoma"/>
            <family val="2"/>
          </rPr>
          <t>Vishnu:</t>
        </r>
        <r>
          <rPr>
            <sz val="9"/>
            <color indexed="81"/>
            <rFont val="Tahoma"/>
            <family val="2"/>
          </rPr>
          <t xml:space="preserve">
INTENTIONALLY LEFT BLANK</t>
        </r>
      </text>
    </comment>
    <comment ref="L27" authorId="0">
      <text>
        <r>
          <rPr>
            <b/>
            <sz val="9"/>
            <color indexed="81"/>
            <rFont val="Tahoma"/>
            <family val="2"/>
          </rPr>
          <t>Vishnu:</t>
        </r>
        <r>
          <rPr>
            <sz val="9"/>
            <color indexed="81"/>
            <rFont val="Tahoma"/>
            <family val="2"/>
          </rPr>
          <t xml:space="preserve">
READ INCOME STATEMENT FROM ANNUAL REPORT</t>
        </r>
      </text>
    </comment>
    <comment ref="M28" authorId="0">
      <text>
        <r>
          <rPr>
            <b/>
            <sz val="9"/>
            <color indexed="81"/>
            <rFont val="Tahoma"/>
            <family val="2"/>
          </rPr>
          <t>Vishnu:</t>
        </r>
        <r>
          <rPr>
            <sz val="9"/>
            <color indexed="81"/>
            <rFont val="Tahoma"/>
            <family val="2"/>
          </rPr>
          <t xml:space="preserve">
</t>
        </r>
        <r>
          <rPr>
            <sz val="11"/>
            <color indexed="81"/>
            <rFont val="Tahoma"/>
            <family val="2"/>
          </rPr>
          <t>No.of shares increased in last 10 years</t>
        </r>
        <r>
          <rPr>
            <sz val="9"/>
            <color indexed="81"/>
            <rFont val="Tahoma"/>
            <family val="2"/>
          </rPr>
          <t xml:space="preserve">
</t>
        </r>
      </text>
    </comment>
  </commentList>
</comments>
</file>

<file path=xl/comments10.xml><?xml version="1.0" encoding="utf-8"?>
<comments xmlns="http://schemas.openxmlformats.org/spreadsheetml/2006/main">
  <authors>
    <author>Vishal</author>
  </authors>
  <commentList>
    <comment ref="C18" authorId="0">
      <text>
        <r>
          <rPr>
            <b/>
            <sz val="9"/>
            <color indexed="81"/>
            <rFont val="Tahoma"/>
            <family val="2"/>
          </rPr>
          <t xml:space="preserve">Vishnu: </t>
        </r>
        <r>
          <rPr>
            <sz val="9"/>
            <color indexed="81"/>
            <rFont val="Tahoma"/>
            <family val="2"/>
          </rPr>
          <t>This is the price at which the business is sold at the end of the 10th year. This price is calculated using a multiple - like 10x or 15x - to 10th year's calculated FCF.</t>
        </r>
      </text>
    </comment>
  </commentList>
</comments>
</file>

<file path=xl/comments11.xml><?xml version="1.0" encoding="utf-8"?>
<comments xmlns="http://schemas.openxmlformats.org/spreadsheetml/2006/main">
  <authors>
    <author>Vishal</author>
    <author>Vishnu</author>
  </authors>
  <commentList>
    <comment ref="A8" authorId="0">
      <text>
        <r>
          <rPr>
            <b/>
            <sz val="9"/>
            <color indexed="81"/>
            <rFont val="Tahoma"/>
            <family val="2"/>
          </rPr>
          <t>Vishnu:</t>
        </r>
        <r>
          <rPr>
            <sz val="9"/>
            <color indexed="81"/>
            <rFont val="Tahoma"/>
            <family val="2"/>
          </rPr>
          <t xml:space="preserve"> Highest EPS growth you should accord to a high quality business is 15% p.a.
</t>
        </r>
      </text>
    </comment>
    <comment ref="A11" authorId="0">
      <text>
        <r>
          <rPr>
            <b/>
            <sz val="9"/>
            <color indexed="81"/>
            <rFont val="Tahoma"/>
            <family val="2"/>
          </rPr>
          <t xml:space="preserve">Vishnu: </t>
        </r>
        <r>
          <rPr>
            <sz val="9"/>
            <color indexed="81"/>
            <rFont val="Tahoma"/>
            <family val="2"/>
          </rPr>
          <t xml:space="preserve">Maximum exit P/E you should accord to a high-quality business is 20x.
</t>
        </r>
      </text>
    </comment>
    <comment ref="B17" authorId="1">
      <text>
        <r>
          <rPr>
            <b/>
            <sz val="9"/>
            <color indexed="81"/>
            <rFont val="Tahoma"/>
            <family val="2"/>
          </rPr>
          <t>Vishnu:</t>
        </r>
        <r>
          <rPr>
            <sz val="9"/>
            <color indexed="81"/>
            <rFont val="Tahoma"/>
            <family val="2"/>
          </rPr>
          <t xml:space="preserve">
In 10 years, if you not are making atleast 4 lakhs then don't invest in this stock</t>
        </r>
      </text>
    </comment>
    <comment ref="A20" authorId="1">
      <text>
        <r>
          <rPr>
            <b/>
            <sz val="9"/>
            <color indexed="81"/>
            <rFont val="Tahoma"/>
            <family val="2"/>
          </rPr>
          <t>Vishnu:</t>
        </r>
        <r>
          <rPr>
            <sz val="9"/>
            <color indexed="81"/>
            <rFont val="Tahoma"/>
            <family val="2"/>
          </rPr>
          <t xml:space="preserve">
Capital Gains should be atleast 15%</t>
        </r>
      </text>
    </comment>
    <comment ref="B20" authorId="1">
      <text>
        <r>
          <rPr>
            <b/>
            <sz val="9"/>
            <color indexed="81"/>
            <rFont val="Tahoma"/>
            <family val="2"/>
          </rPr>
          <t>Vishnu:</t>
        </r>
        <r>
          <rPr>
            <sz val="9"/>
            <color indexed="81"/>
            <rFont val="Tahoma"/>
            <family val="2"/>
          </rPr>
          <t xml:space="preserve">
Invest in this stock only if it is offering atleast 15% Expected Return (Cagr) in 10 years</t>
        </r>
      </text>
    </comment>
    <comment ref="B21" authorId="1">
      <text>
        <r>
          <rPr>
            <b/>
            <sz val="9"/>
            <color indexed="81"/>
            <rFont val="Tahoma"/>
            <family val="2"/>
          </rPr>
          <t>Vishnu:</t>
        </r>
        <r>
          <rPr>
            <sz val="9"/>
            <color indexed="81"/>
            <rFont val="Tahoma"/>
            <family val="2"/>
          </rPr>
          <t xml:space="preserve">
If dividend return is negative, then You have Inputted The Most Unrealistic And Irrational Growth Rate</t>
        </r>
      </text>
    </comment>
    <comment ref="A22" authorId="1">
      <text>
        <r>
          <rPr>
            <b/>
            <sz val="9"/>
            <color indexed="81"/>
            <rFont val="Tahoma"/>
            <family val="2"/>
          </rPr>
          <t>Vishnu:</t>
        </r>
        <r>
          <rPr>
            <sz val="9"/>
            <color indexed="81"/>
            <rFont val="Tahoma"/>
            <family val="2"/>
          </rPr>
          <t xml:space="preserve">
Total Return should be more than 15%</t>
        </r>
      </text>
    </comment>
    <comment ref="E23" authorId="1">
      <text>
        <r>
          <rPr>
            <b/>
            <sz val="9"/>
            <color indexed="81"/>
            <rFont val="Tahoma"/>
            <family val="2"/>
          </rPr>
          <t>Vishnu:</t>
        </r>
        <r>
          <rPr>
            <sz val="9"/>
            <color indexed="81"/>
            <rFont val="Tahoma"/>
            <family val="2"/>
          </rPr>
          <t xml:space="preserve">
If dividend return is negative, then you have inputted the most unrealistic and irrational growth rate
</t>
        </r>
      </text>
    </comment>
  </commentList>
</comments>
</file>

<file path=xl/comments12.xml><?xml version="1.0" encoding="utf-8"?>
<comments xmlns="http://schemas.openxmlformats.org/spreadsheetml/2006/main">
  <authors>
    <author>Vishnu</author>
  </authors>
  <commentList>
    <comment ref="J3" authorId="0">
      <text>
        <r>
          <rPr>
            <b/>
            <sz val="9"/>
            <color indexed="81"/>
            <rFont val="Tahoma"/>
            <family val="2"/>
          </rPr>
          <t>Vishnu:</t>
        </r>
        <r>
          <rPr>
            <sz val="9"/>
            <color indexed="81"/>
            <rFont val="Tahoma"/>
            <family val="2"/>
          </rPr>
          <t xml:space="preserve">
How much money you want to invest in this stock ?</t>
        </r>
      </text>
    </comment>
    <comment ref="A12" authorId="0">
      <text>
        <r>
          <rPr>
            <b/>
            <sz val="9"/>
            <color indexed="81"/>
            <rFont val="Tahoma"/>
            <family val="2"/>
          </rPr>
          <t>Vishnu:</t>
        </r>
        <r>
          <rPr>
            <sz val="9"/>
            <color indexed="81"/>
            <rFont val="Tahoma"/>
            <family val="2"/>
          </rPr>
          <t xml:space="preserve">
At 10% Margin Of Safety</t>
        </r>
      </text>
    </comment>
    <comment ref="A13" authorId="0">
      <text>
        <r>
          <rPr>
            <b/>
            <sz val="9"/>
            <color indexed="81"/>
            <rFont val="Tahoma"/>
            <family val="2"/>
          </rPr>
          <t>Vishnu:</t>
        </r>
        <r>
          <rPr>
            <sz val="9"/>
            <color indexed="81"/>
            <rFont val="Tahoma"/>
            <family val="2"/>
          </rPr>
          <t xml:space="preserve">
At 20% Margin Of Safety</t>
        </r>
      </text>
    </comment>
    <comment ref="A14" authorId="0">
      <text>
        <r>
          <rPr>
            <b/>
            <sz val="9"/>
            <color indexed="81"/>
            <rFont val="Tahoma"/>
            <family val="2"/>
          </rPr>
          <t>Vishnu:</t>
        </r>
        <r>
          <rPr>
            <sz val="9"/>
            <color indexed="81"/>
            <rFont val="Tahoma"/>
            <family val="2"/>
          </rPr>
          <t xml:space="preserve">
At 25% Margin Of Safety</t>
        </r>
      </text>
    </comment>
  </commentList>
</comments>
</file>

<file path=xl/comments2.xml><?xml version="1.0" encoding="utf-8"?>
<comments xmlns="http://schemas.openxmlformats.org/spreadsheetml/2006/main">
  <authors>
    <author>Vishnu</author>
  </authors>
  <commentList>
    <comment ref="A8" authorId="0">
      <text>
        <r>
          <rPr>
            <b/>
            <sz val="9"/>
            <color indexed="81"/>
            <rFont val="Tahoma"/>
            <family val="2"/>
          </rPr>
          <t>Vishnu:</t>
        </r>
        <r>
          <rPr>
            <sz val="9"/>
            <color indexed="81"/>
            <rFont val="Tahoma"/>
            <family val="2"/>
          </rPr>
          <t xml:space="preserve">
If this number is increasing then it is a good sign.
The inventory turnover ratio is an efficiency ratio that shows how effectively inventory is managed by comparing cost of goods sold with average inventory for a period. This measures how many times average inventory is “turned” or sold during a period. In other words, it measures how many times a company sold its total average inventory amount during the year.</t>
        </r>
      </text>
    </comment>
    <comment ref="A9" authorId="0">
      <text>
        <r>
          <rPr>
            <b/>
            <sz val="9"/>
            <color indexed="81"/>
            <rFont val="Tahoma"/>
            <family val="2"/>
          </rPr>
          <t>Vishnu:</t>
        </r>
        <r>
          <rPr>
            <sz val="9"/>
            <color indexed="81"/>
            <rFont val="Tahoma"/>
            <family val="2"/>
          </rPr>
          <t xml:space="preserve">
LOWER IS BETTER, compare it with industry peers</t>
        </r>
      </text>
    </comment>
    <comment ref="A10" authorId="0">
      <text>
        <r>
          <rPr>
            <b/>
            <sz val="9"/>
            <color indexed="81"/>
            <rFont val="Tahoma"/>
            <family val="2"/>
          </rPr>
          <t>Vishnu:</t>
        </r>
        <r>
          <rPr>
            <sz val="9"/>
            <color indexed="81"/>
            <rFont val="Tahoma"/>
            <family val="2"/>
          </rPr>
          <t xml:space="preserve">
LOWER IS BETTER, compare it with industry peers.
Debtors Days or recevable days ratio measures how quickly cash is being collected from debtors. The longer it takes for a company to collect, the greater the number of debtors days. The number of debtor days should be compared to that of other companies in the same industry to see if it is unusually high or low. 
A high number here shows that a company is selling its product to customers on credit and taking longer to collect money. This may lead to cash flow problems because of the long duration between the time of a sale and the time the company receives payment. A low number here means that it takes a company fewer days to collect its accounts receivable. In effect, the ability to determine the average length of time that a company’s outstanding balances are carried in receivables can in some cases tell a great deal about the nature of the company’s cash flow. (Source: Investopedia)</t>
        </r>
      </text>
    </comment>
    <comment ref="A11" authorId="0">
      <text>
        <r>
          <rPr>
            <b/>
            <sz val="9"/>
            <color indexed="81"/>
            <rFont val="Tahoma"/>
            <family val="2"/>
          </rPr>
          <t>Vishnu:</t>
        </r>
        <r>
          <rPr>
            <sz val="9"/>
            <color indexed="81"/>
            <rFont val="Tahoma"/>
            <family val="2"/>
          </rPr>
          <t xml:space="preserve">
HIGHER IS BETTER, COMPARE WITH INDUSTRY PEERS. Fixed-asset turnover is the ratio of sales (on the profit and loss account) to the value of fixed assets (on the balance sheet). It indicates how well the business is using its fixed assets to generate sales.
Generally speaking, the higher the ratio, the better, because a high ratio indicates the business has less money tied up in fixed assets for each unit of currency of sales revenue. A declining ratio may indicate that the business is over-invested in plant, equipment, or other fixed assets.</t>
        </r>
      </text>
    </comment>
    <comment ref="A12" authorId="0">
      <text>
        <r>
          <rPr>
            <b/>
            <sz val="9"/>
            <color indexed="81"/>
            <rFont val="Tahoma"/>
            <family val="2"/>
          </rPr>
          <t>Vishnu:</t>
        </r>
        <r>
          <rPr>
            <sz val="9"/>
            <color indexed="81"/>
            <rFont val="Tahoma"/>
            <family val="2"/>
          </rPr>
          <t xml:space="preserve">
HIGHER IS BETTER</t>
        </r>
      </text>
    </comment>
    <comment ref="A13" authorId="0">
      <text>
        <r>
          <rPr>
            <b/>
            <sz val="9"/>
            <color indexed="81"/>
            <rFont val="Tahoma"/>
            <family val="2"/>
          </rPr>
          <t>Vishnu:</t>
        </r>
        <r>
          <rPr>
            <sz val="9"/>
            <color indexed="81"/>
            <rFont val="Tahoma"/>
            <family val="2"/>
          </rPr>
          <t xml:space="preserve">
LOWER IS BETTER</t>
        </r>
      </text>
    </comment>
    <comment ref="A14" authorId="0">
      <text>
        <r>
          <rPr>
            <b/>
            <sz val="9"/>
            <color indexed="81"/>
            <rFont val="Tahoma"/>
            <family val="2"/>
          </rPr>
          <t>Vishnu:</t>
        </r>
        <r>
          <rPr>
            <sz val="9"/>
            <color indexed="81"/>
            <rFont val="Tahoma"/>
            <family val="2"/>
          </rPr>
          <t xml:space="preserve">
LOWER IS BETTER
Debt/Equity (D/E) ratio, calculated by dividing a company’s total debt or borrowings by its stockholders' equity, is used to measure a company's financial leverage. The D/E ratio indicates how much debt a company is using to finance its assets relative to the value of shareholders’ equity.
A high debt/equity ratio generally means that a company has been aggressive in financing its growth with debt. Aggressive leveraging practices are often associated with high levels of risk. This may result in volatile earnings as a result of the additional interest expense.</t>
        </r>
      </text>
    </comment>
    <comment ref="A15" authorId="0">
      <text>
        <r>
          <rPr>
            <b/>
            <sz val="9"/>
            <color indexed="81"/>
            <rFont val="Tahoma"/>
            <family val="2"/>
          </rPr>
          <t>Vishnu:</t>
        </r>
        <r>
          <rPr>
            <sz val="9"/>
            <color indexed="81"/>
            <rFont val="Tahoma"/>
            <family val="2"/>
          </rPr>
          <t xml:space="preserve">
HIGHER THAN 10 IS BETTER</t>
        </r>
      </text>
    </comment>
    <comment ref="A16" authorId="0">
      <text>
        <r>
          <rPr>
            <b/>
            <sz val="9"/>
            <color indexed="81"/>
            <rFont val="Tahoma"/>
            <family val="2"/>
          </rPr>
          <t>Vishnu:</t>
        </r>
        <r>
          <rPr>
            <sz val="9"/>
            <color indexed="81"/>
            <rFont val="Tahoma"/>
            <family val="2"/>
          </rPr>
          <t xml:space="preserve">
HIGHER IS BETTER
If fcf is negative then it will be less than 1</t>
        </r>
      </text>
    </comment>
    <comment ref="A18" authorId="0">
      <text>
        <r>
          <rPr>
            <b/>
            <sz val="9"/>
            <color indexed="81"/>
            <rFont val="Tahoma"/>
            <family val="2"/>
          </rPr>
          <t>Vishnu:</t>
        </r>
        <r>
          <rPr>
            <sz val="9"/>
            <color indexed="81"/>
            <rFont val="Tahoma"/>
            <family val="2"/>
          </rPr>
          <t xml:space="preserve">
LESS THAN 1 OVER A PERIOD OF SEVERAL YEARS IS A RED FLAG</t>
        </r>
      </text>
    </comment>
    <comment ref="A19" authorId="0">
      <text>
        <r>
          <rPr>
            <b/>
            <sz val="9"/>
            <color indexed="81"/>
            <rFont val="Tahoma"/>
            <family val="2"/>
          </rPr>
          <t>Vishnu:</t>
        </r>
        <r>
          <rPr>
            <sz val="9"/>
            <color indexed="81"/>
            <rFont val="Tahoma"/>
            <family val="2"/>
          </rPr>
          <t xml:space="preserve">
LESS THAN 3 IS BEST</t>
        </r>
      </text>
    </comment>
    <comment ref="A20" authorId="0">
      <text>
        <r>
          <rPr>
            <b/>
            <sz val="9"/>
            <color indexed="81"/>
            <rFont val="Tahoma"/>
            <family val="2"/>
          </rPr>
          <t>Vishnu:</t>
        </r>
        <r>
          <rPr>
            <sz val="9"/>
            <color indexed="81"/>
            <rFont val="Tahoma"/>
            <family val="2"/>
          </rPr>
          <t xml:space="preserve">
LESS THAN 3 IS BEST</t>
        </r>
      </text>
    </comment>
  </commentList>
</comments>
</file>

<file path=xl/comments3.xml><?xml version="1.0" encoding="utf-8"?>
<comments xmlns="http://schemas.openxmlformats.org/spreadsheetml/2006/main">
  <authors>
    <author>Vishnu</author>
  </authors>
  <commentList>
    <comment ref="A4" authorId="0">
      <text>
        <r>
          <rPr>
            <b/>
            <sz val="9"/>
            <color indexed="81"/>
            <rFont val="Tahoma"/>
            <family val="2"/>
          </rPr>
          <t>Vishnu:</t>
        </r>
        <r>
          <rPr>
            <sz val="9"/>
            <color indexed="81"/>
            <rFont val="Tahoma"/>
            <family val="2"/>
          </rPr>
          <t xml:space="preserve">
Check for sales growth. If a business is not growing for a few years, or growing slower than the industry and peers, you may give it a pass.
MINIMUM 10% GROWTH</t>
        </r>
      </text>
    </comment>
    <comment ref="N10" authorId="0">
      <text>
        <r>
          <rPr>
            <b/>
            <sz val="9"/>
            <color indexed="81"/>
            <rFont val="Tahoma"/>
            <family val="2"/>
          </rPr>
          <t>Vishnu:</t>
        </r>
        <r>
          <rPr>
            <sz val="9"/>
            <color indexed="81"/>
            <rFont val="Tahoma"/>
            <family val="2"/>
          </rPr>
          <t xml:space="preserve">
EBIT - EARNINGS BEFORE INTEREST AND TAX</t>
        </r>
      </text>
    </comment>
    <comment ref="N13" authorId="0">
      <text>
        <r>
          <rPr>
            <b/>
            <sz val="9"/>
            <color indexed="81"/>
            <rFont val="Tahoma"/>
            <family val="2"/>
          </rPr>
          <t>Vishnu:</t>
        </r>
        <r>
          <rPr>
            <sz val="9"/>
            <color indexed="81"/>
            <rFont val="Tahoma"/>
            <family val="2"/>
          </rPr>
          <t xml:space="preserve">
 Important profitability number. Better than Operating Margin. Check out changes in the same over years, and explore reasons for the same. Falling/rising PBT margin may indicate narrowing/expanding moat.
</t>
        </r>
      </text>
    </comment>
    <comment ref="A17" authorId="0">
      <text>
        <r>
          <rPr>
            <b/>
            <sz val="9"/>
            <color indexed="81"/>
            <rFont val="Tahoma"/>
            <family val="2"/>
          </rPr>
          <t>Vishnu:</t>
        </r>
        <r>
          <rPr>
            <sz val="9"/>
            <color indexed="81"/>
            <rFont val="Tahoma"/>
            <family val="2"/>
          </rPr>
          <t xml:space="preserve">
Less than 3 red colour cells = Consistent Growth
3 red colour cells = Cyclical company
More than 3 red colour cells = Erratic Growth</t>
        </r>
      </text>
    </comment>
    <comment ref="A19" authorId="0">
      <text>
        <r>
          <rPr>
            <b/>
            <sz val="9"/>
            <color indexed="81"/>
            <rFont val="Tahoma"/>
            <family val="2"/>
          </rPr>
          <t>Vishnu:</t>
        </r>
        <r>
          <rPr>
            <sz val="9"/>
            <color indexed="81"/>
            <rFont val="Tahoma"/>
            <family val="2"/>
          </rPr>
          <t xml:space="preserve">
Better growth number than Net profit growth, because EPS is adjusted for any dilution etc. Seek gradual growth in this number, and be careful of a declining number.
MINIMUM 10% GROWTH
</t>
        </r>
      </text>
    </comment>
    <comment ref="A20" authorId="0">
      <text>
        <r>
          <rPr>
            <b/>
            <sz val="9"/>
            <color indexed="81"/>
            <rFont val="Tahoma"/>
            <family val="2"/>
          </rPr>
          <t>Vishnu:</t>
        </r>
        <r>
          <rPr>
            <sz val="9"/>
            <color indexed="81"/>
            <rFont val="Tahoma"/>
            <family val="2"/>
          </rPr>
          <t xml:space="preserve">
Suggests the attractiveness of a firm in the eyes of Mr. Market. Lower P/Es reflect lower attractivenss, and higher reflect higher attractiveness. However, P/Es in isolation tell nothing about the quality of the business, especially when you are looking at short term numbers.</t>
        </r>
      </text>
    </comment>
    <comment ref="A25" authorId="0">
      <text>
        <r>
          <rPr>
            <b/>
            <sz val="9"/>
            <color indexed="81"/>
            <rFont val="Tahoma"/>
            <family val="2"/>
          </rPr>
          <t>Vishnu:</t>
        </r>
        <r>
          <rPr>
            <sz val="9"/>
            <color indexed="81"/>
            <rFont val="Tahoma"/>
            <family val="2"/>
          </rPr>
          <t xml:space="preserve">
MINIMUM 1
This number shows how much wealth the business has created for shareholders (excluding dividends) for every Rupee it has retained over years. 
This idea is from Warren Buffett who wrote this in his 1984 letter – “For a number of reasons managers like to withhold unrestricted readily distributable earnings from shareholders – to expand the corporate empire over which the managers rule, to operate from a position of exceptional financial comfort, etc. But we believe there is only one valid reason for retention. Unrestricted earnings should be retained only when there is a reasonable prospect – backed preferably by historical evidence or, when appropriate, by a thoughtful analysis of the future – that for every dollar retained by the corporation, at least one dollar of market value will be created for owners. This will happen only if the capital retained produces incremental earnings equal to, or above, those generally available to investors.”
Formula is - Change in Market Cap over, say, 10 years Divided By Total Retained Earnings during the same period
Here, Retained Earnings = Net Profit minus Dividend paid
Bigger the number, more wealth has been created by the business for every Rupee retained, which is good.</t>
        </r>
      </text>
    </comment>
  </commentList>
</comments>
</file>

<file path=xl/comments4.xml><?xml version="1.0" encoding="utf-8"?>
<comments xmlns="http://schemas.openxmlformats.org/spreadsheetml/2006/main">
  <authors>
    <author>Vishnu</author>
  </authors>
  <commentList>
    <comment ref="A1" authorId="0">
      <text>
        <r>
          <rPr>
            <b/>
            <sz val="9"/>
            <color indexed="81"/>
            <rFont val="Tahoma"/>
            <family val="2"/>
          </rPr>
          <t>Vishnu:</t>
        </r>
        <r>
          <rPr>
            <sz val="9"/>
            <color indexed="81"/>
            <rFont val="Tahoma"/>
            <family val="2"/>
          </rPr>
          <t xml:space="preserve">
A common-size financial statement is displays line items as a percentage of one selected or common figure. Creating common-size financial statements makes it easier to analyze a company over time and compare it with its peers. Using common-size financial statements helps investors spot trends that a raw financial statement may not uncover.</t>
        </r>
      </text>
    </comment>
    <comment ref="A11" authorId="0">
      <text>
        <r>
          <rPr>
            <b/>
            <sz val="9"/>
            <color indexed="81"/>
            <rFont val="Tahoma"/>
            <family val="2"/>
          </rPr>
          <t>Vishnu:</t>
        </r>
        <r>
          <rPr>
            <sz val="9"/>
            <color indexed="81"/>
            <rFont val="Tahoma"/>
            <family val="2"/>
          </rPr>
          <t xml:space="preserve">
EBITDA - Earning before Interest tax depreciation and amortisation</t>
        </r>
      </text>
    </comment>
  </commentList>
</comments>
</file>

<file path=xl/comments5.xml><?xml version="1.0" encoding="utf-8"?>
<comments xmlns="http://schemas.openxmlformats.org/spreadsheetml/2006/main">
  <authors>
    <author>Vishnu</author>
  </authors>
  <commentList>
    <comment ref="A8" authorId="0">
      <text>
        <r>
          <rPr>
            <b/>
            <sz val="9"/>
            <color indexed="81"/>
            <rFont val="Tahoma"/>
            <family val="2"/>
          </rPr>
          <t>Vishnu:</t>
        </r>
        <r>
          <rPr>
            <sz val="9"/>
            <color indexed="81"/>
            <rFont val="Tahoma"/>
            <family val="2"/>
          </rPr>
          <t xml:space="preserve">
Growth potential of the company without selling additional shares or without raising debt</t>
        </r>
      </text>
    </comment>
    <comment ref="A11" authorId="0">
      <text>
        <r>
          <rPr>
            <b/>
            <sz val="9"/>
            <color indexed="81"/>
            <rFont val="Tahoma"/>
            <family val="2"/>
          </rPr>
          <t>Vishnu:</t>
        </r>
        <r>
          <rPr>
            <sz val="9"/>
            <color indexed="81"/>
            <rFont val="Tahoma"/>
            <family val="2"/>
          </rPr>
          <t xml:space="preserve">
minimum 10%</t>
        </r>
      </text>
    </comment>
    <comment ref="A16" authorId="0">
      <text>
        <r>
          <rPr>
            <b/>
            <sz val="9"/>
            <color indexed="81"/>
            <rFont val="Tahoma"/>
            <family val="2"/>
          </rPr>
          <t>Vishnu:</t>
        </r>
        <r>
          <rPr>
            <sz val="9"/>
            <color indexed="81"/>
            <rFont val="Tahoma"/>
            <family val="2"/>
          </rPr>
          <t xml:space="preserve">
If receivables are growing faster than sales, then it’s a sign of trouble  </t>
        </r>
      </text>
    </comment>
    <comment ref="A17" authorId="0">
      <text>
        <r>
          <rPr>
            <b/>
            <sz val="9"/>
            <color indexed="81"/>
            <rFont val="Tahoma"/>
            <family val="2"/>
          </rPr>
          <t>Vishnu:</t>
        </r>
        <r>
          <rPr>
            <sz val="9"/>
            <color indexed="81"/>
            <rFont val="Tahoma"/>
            <family val="2"/>
          </rPr>
          <t xml:space="preserve">
If inventories are growing faster than sales, then it’s a sign of trouble</t>
        </r>
      </text>
    </comment>
  </commentList>
</comments>
</file>

<file path=xl/comments6.xml><?xml version="1.0" encoding="utf-8"?>
<comments xmlns="http://schemas.openxmlformats.org/spreadsheetml/2006/main">
  <authors>
    <author>Vishnu</author>
  </authors>
  <commentList>
    <comment ref="A20" authorId="0">
      <text>
        <r>
          <rPr>
            <b/>
            <sz val="9"/>
            <color indexed="81"/>
            <rFont val="Tahoma"/>
            <family val="2"/>
          </rPr>
          <t>Vishnu:</t>
        </r>
        <r>
          <rPr>
            <sz val="9"/>
            <color indexed="81"/>
            <rFont val="Tahoma"/>
            <family val="2"/>
          </rPr>
          <t xml:space="preserve">
If CFFO is the source of cash, then it is a good business 
If CF-Invest is the source of cash, then it is bad, because instead of reinvesting the business, they are actually liquidating it
If CF-Finance is the source of cash, then it a bad sign, because they either raising debt, which will increase the risk of the company or they selling additional shares, which will dilute or reduce the ownership of existing shareholders
Some cases, you find Multiple sources of Cash, but remember that the best way to generate cash is through through operating activities</t>
        </r>
      </text>
    </comment>
    <comment ref="A22" authorId="0">
      <text>
        <r>
          <rPr>
            <b/>
            <sz val="9"/>
            <color indexed="81"/>
            <rFont val="Tahoma"/>
            <family val="2"/>
          </rPr>
          <t>Vishnu:</t>
        </r>
        <r>
          <rPr>
            <sz val="9"/>
            <color indexed="81"/>
            <rFont val="Tahoma"/>
            <family val="2"/>
          </rPr>
          <t xml:space="preserve">
If company is generating Free Cash Flow consistently, then "YES"
If it has Negative Free Cash Flow, then "NO"</t>
        </r>
      </text>
    </comment>
    <comment ref="A24" authorId="0">
      <text>
        <r>
          <rPr>
            <b/>
            <sz val="9"/>
            <color indexed="81"/>
            <rFont val="Tahoma"/>
            <family val="2"/>
          </rPr>
          <t>Vishnu:</t>
        </r>
        <r>
          <rPr>
            <sz val="9"/>
            <color indexed="81"/>
            <rFont val="Tahoma"/>
            <family val="2"/>
          </rPr>
          <t xml:space="preserve">
If CFFO and Net Profit are not in-line over a long period of time, then it's a red flag</t>
        </r>
      </text>
    </comment>
  </commentList>
</comments>
</file>

<file path=xl/comments7.xml><?xml version="1.0" encoding="utf-8"?>
<comments xmlns="http://schemas.openxmlformats.org/spreadsheetml/2006/main">
  <authors>
    <author>Vishnu</author>
  </authors>
  <commentList>
    <comment ref="A7" authorId="0">
      <text>
        <r>
          <rPr>
            <b/>
            <sz val="9"/>
            <color indexed="81"/>
            <rFont val="Tahoma"/>
            <family val="2"/>
          </rPr>
          <t>Vishnu:</t>
        </r>
        <r>
          <rPr>
            <sz val="9"/>
            <color indexed="81"/>
            <rFont val="Tahoma"/>
            <family val="2"/>
          </rPr>
          <t xml:space="preserve">
DuPont analysis is useful technique used to decompose the different drivers of return on equity. Decomposition of ROE allows investors to focus on the key metrics of financial performance individually to identify strengths and weaknesses. There are three major financial metrics that drive return on equity are: Operating Efficiency, asset use efficiency and financial leverage. Operating efficiency is represented by net profit margins. Asset use efficiency is represented by the asset turnover ratio. Leverage is measured by the equity multiplier (financial leverage).  </t>
        </r>
      </text>
    </comment>
    <comment ref="A10" authorId="0">
      <text>
        <r>
          <rPr>
            <b/>
            <sz val="9"/>
            <color indexed="81"/>
            <rFont val="Tahoma"/>
            <family val="2"/>
          </rPr>
          <t>Vishnu:</t>
        </r>
        <r>
          <rPr>
            <sz val="9"/>
            <color indexed="81"/>
            <rFont val="Tahoma"/>
            <family val="2"/>
          </rPr>
          <t xml:space="preserve">
HIGHER IS BETTER</t>
        </r>
      </text>
    </comment>
    <comment ref="A12" authorId="0">
      <text>
        <r>
          <rPr>
            <b/>
            <sz val="9"/>
            <color indexed="81"/>
            <rFont val="Tahoma"/>
            <family val="2"/>
          </rPr>
          <t>Vishnu:</t>
        </r>
        <r>
          <rPr>
            <sz val="9"/>
            <color indexed="81"/>
            <rFont val="Tahoma"/>
            <family val="2"/>
          </rPr>
          <t xml:space="preserve">
HIGHER IS BETTER</t>
        </r>
      </text>
    </comment>
    <comment ref="A14" authorId="0">
      <text>
        <r>
          <rPr>
            <b/>
            <sz val="9"/>
            <color indexed="81"/>
            <rFont val="Tahoma"/>
            <family val="2"/>
          </rPr>
          <t>Vishnu:</t>
        </r>
        <r>
          <rPr>
            <sz val="9"/>
            <color indexed="81"/>
            <rFont val="Tahoma"/>
            <family val="2"/>
          </rPr>
          <t xml:space="preserve">
MINIMUM 8% IS GOOD, HIGHER IS BETTER</t>
        </r>
      </text>
    </comment>
    <comment ref="A16" authorId="0">
      <text>
        <r>
          <rPr>
            <b/>
            <sz val="9"/>
            <color indexed="81"/>
            <rFont val="Tahoma"/>
            <family val="2"/>
          </rPr>
          <t>Vishnu:</t>
        </r>
        <r>
          <rPr>
            <sz val="9"/>
            <color indexed="81"/>
            <rFont val="Tahoma"/>
            <family val="2"/>
          </rPr>
          <t xml:space="preserve">
MORE THAN 4 IS RISKY, LOWER IS BETTER</t>
        </r>
      </text>
    </comment>
    <comment ref="A18" authorId="0">
      <text>
        <r>
          <rPr>
            <b/>
            <sz val="9"/>
            <color indexed="81"/>
            <rFont val="Tahoma"/>
            <family val="2"/>
          </rPr>
          <t>Vishnu:</t>
        </r>
        <r>
          <rPr>
            <sz val="9"/>
            <color indexed="81"/>
            <rFont val="Tahoma"/>
            <family val="2"/>
          </rPr>
          <t xml:space="preserve">
MINIMUM 15% IS GOOD, HIGHER IS BETTER</t>
        </r>
      </text>
    </comment>
    <comment ref="A32" authorId="0">
      <text>
        <r>
          <rPr>
            <b/>
            <sz val="9"/>
            <color indexed="81"/>
            <rFont val="Tahoma"/>
            <family val="2"/>
          </rPr>
          <t>Vishnu:</t>
        </r>
        <r>
          <rPr>
            <sz val="9"/>
            <color indexed="81"/>
            <rFont val="Tahoma"/>
            <family val="2"/>
          </rPr>
          <t xml:space="preserve">
MINIMUM 5% IS GOOD</t>
        </r>
      </text>
    </comment>
  </commentList>
</comments>
</file>

<file path=xl/comments8.xml><?xml version="1.0" encoding="utf-8"?>
<comments xmlns="http://schemas.openxmlformats.org/spreadsheetml/2006/main">
  <authors>
    <author>Vishnu</author>
  </authors>
  <commentList>
    <comment ref="A6" authorId="0">
      <text>
        <r>
          <rPr>
            <b/>
            <sz val="9"/>
            <color indexed="81"/>
            <rFont val="Tahoma"/>
            <family val="2"/>
          </rPr>
          <t>Vishnu:</t>
        </r>
        <r>
          <rPr>
            <sz val="9"/>
            <color indexed="81"/>
            <rFont val="Tahoma"/>
            <family val="2"/>
          </rPr>
          <t xml:space="preserve">
COMPARE THIS YIELD WITH 10Y GOVT BOND</t>
        </r>
      </text>
    </comment>
    <comment ref="A8" authorId="0">
      <text>
        <r>
          <rPr>
            <b/>
            <sz val="9"/>
            <color indexed="81"/>
            <rFont val="Tahoma"/>
            <family val="2"/>
          </rPr>
          <t>Vishnu:</t>
        </r>
        <r>
          <rPr>
            <sz val="9"/>
            <color indexed="81"/>
            <rFont val="Tahoma"/>
            <family val="2"/>
          </rPr>
          <t xml:space="preserve">
enter this number manually</t>
        </r>
      </text>
    </comment>
    <comment ref="A10" authorId="0">
      <text>
        <r>
          <rPr>
            <b/>
            <sz val="9"/>
            <color indexed="81"/>
            <rFont val="Tahoma"/>
            <family val="2"/>
          </rPr>
          <t>Vishnu:</t>
        </r>
        <r>
          <rPr>
            <sz val="9"/>
            <color indexed="81"/>
            <rFont val="Tahoma"/>
            <family val="2"/>
          </rPr>
          <t xml:space="preserve">
If stocks are offering a higher yield, then it looks pretty interesting on post-tax return on an investment basis.  Also, never forget the potential upside which may further exist in stocks. The difference is that earnings generally grow over time, whereas bond payments are fixed.</t>
        </r>
      </text>
    </comment>
    <comment ref="A18" authorId="0">
      <text>
        <r>
          <rPr>
            <b/>
            <sz val="9"/>
            <color indexed="81"/>
            <rFont val="Tahoma"/>
            <family val="2"/>
          </rPr>
          <t>Vishnu:</t>
        </r>
        <r>
          <rPr>
            <sz val="9"/>
            <color indexed="81"/>
            <rFont val="Tahoma"/>
            <family val="2"/>
          </rPr>
          <t xml:space="preserve">
If stocks are offering a higher yield, then it looks pretty interesting on post-tax return on an investment basis.  Also, never forget the potential upside which may further exist in stocks. The difference is that earnings generally grow over time, whereas bond payments are fixed.</t>
        </r>
      </text>
    </comment>
    <comment ref="A28" authorId="0">
      <text>
        <r>
          <rPr>
            <b/>
            <sz val="9"/>
            <color indexed="81"/>
            <rFont val="Tahoma"/>
            <family val="2"/>
          </rPr>
          <t>Vishnu:</t>
        </r>
        <r>
          <rPr>
            <sz val="9"/>
            <color indexed="81"/>
            <rFont val="Tahoma"/>
            <family val="2"/>
          </rPr>
          <t xml:space="preserve">
The easiest way to use a P/E ratio is to compare it to a benchmark, such as another company in the same industry, the entire market, or the same at a different point in time. Each of these approaches has some value, as long as you know the limitations.
A company that's trading at a lower P/E than its industry peers could be a good value, but remember that even firms in the same industry can have very different capital structures, risk levels, and growth rates, all of which affect the P/E ratio.
All else equal, it makes sense to pay higher P/E for a firm that's growing faster, has less debt, and has lower capital reinvestment needs.
</t>
        </r>
      </text>
    </comment>
    <comment ref="A38" authorId="0">
      <text>
        <r>
          <rPr>
            <b/>
            <sz val="9"/>
            <color indexed="81"/>
            <rFont val="Tahoma"/>
            <family val="2"/>
          </rPr>
          <t>Vishnu:</t>
        </r>
        <r>
          <rPr>
            <sz val="9"/>
            <color indexed="81"/>
            <rFont val="Tahoma"/>
            <family val="2"/>
          </rPr>
          <t xml:space="preserve">
P/S ratio has one big flaw: sales may be worth a little or a lot, depending on a companies profitability. If a company is posting billions in sales, but its losing money on every transaction, we would have a hard time pinning an appropriate P/S ratio on the shares because we have no idea what level profits the company will generate.
Although the P/S ratio might be useful if you are looking at a firm with highly variable earnings because you can compare today's P/S with a historical P/S ratio. It's not something you want to rely on very much. In particular, don't compare companies in different industries on a P/S basis, unless the two industries have very similar levels of profitability.
</t>
        </r>
      </text>
    </comment>
    <comment ref="A48" authorId="0">
      <text>
        <r>
          <rPr>
            <b/>
            <sz val="9"/>
            <color indexed="81"/>
            <rFont val="Tahoma"/>
            <family val="2"/>
          </rPr>
          <t>Vishnu:</t>
        </r>
        <r>
          <rPr>
            <sz val="9"/>
            <color indexed="81"/>
            <rFont val="Tahoma"/>
            <family val="2"/>
          </rPr>
          <t xml:space="preserve">
For service firms, in particular, P/B has little meaning. Price to book ratio can mislead you if you used P/B to value firms like Nestle, Hul, ITC, etc, which derives much of its value from its brand name, not from the size of its factories or the quantity of its inventory.
Another item to be wary of when using P/B to value stocks is goodwill, which can inflate book value to the point that even the most expensive firm looks like a value. When one company buys another, the difference between the target firm's tangible book value and the purchase price is goodwill.
when you are looking at P/B, make sure you relate it to ROE. A firm with a low P/B relative to its peers or to the market and a high ROE might be a potential bargain, but you will want some digging before doing that assessment based solely on the P/B.
A caveat: Although P/B is not useful for service firms, its very good for valuing financial services firms because most financial firms have considerable liquid assets on their balance sheets. The nice thing about financial firms is that many of the assets included in their book value are marked to market. In other words, they are revalued every quarter to reflect shifts in the market place, which means that book value is reasonably current.
</t>
        </r>
      </text>
    </comment>
  </commentList>
</comments>
</file>

<file path=xl/comments9.xml><?xml version="1.0" encoding="utf-8"?>
<comments xmlns="http://schemas.openxmlformats.org/spreadsheetml/2006/main">
  <authors>
    <author>Vishal</author>
    <author>Vishnu</author>
    <author>Safal Niveshak</author>
  </authors>
  <commentList>
    <comment ref="A4" authorId="0">
      <text>
        <r>
          <rPr>
            <b/>
            <sz val="9"/>
            <color indexed="81"/>
            <rFont val="Tahoma"/>
            <family val="2"/>
          </rPr>
          <t xml:space="preserve">Investor Diary: </t>
        </r>
        <r>
          <rPr>
            <sz val="9"/>
            <color indexed="81"/>
            <rFont val="Tahoma"/>
            <family val="2"/>
          </rPr>
          <t xml:space="preserve">Normalize!
It's better to take a 3-5 years average FCF as this starting number instead of the latest year's FCF. This is for the simple reason that the latest year can be a best/worst number.
FCF can be calculated from the Cash Flow Statement in the annual report.
</t>
        </r>
        <r>
          <rPr>
            <b/>
            <sz val="9"/>
            <color indexed="81"/>
            <rFont val="Tahoma"/>
            <family val="2"/>
          </rPr>
          <t xml:space="preserve">FCF formula = Net Cash from/(used in) Operating Activities </t>
        </r>
        <r>
          <rPr>
            <b/>
            <i/>
            <sz val="9"/>
            <color indexed="81"/>
            <rFont val="Tahoma"/>
            <family val="2"/>
          </rPr>
          <t>minus</t>
        </r>
        <r>
          <rPr>
            <b/>
            <sz val="9"/>
            <color indexed="81"/>
            <rFont val="Tahoma"/>
            <family val="2"/>
          </rPr>
          <t xml:space="preserve"> Purchase of Fixed Assets</t>
        </r>
        <r>
          <rPr>
            <sz val="9"/>
            <color indexed="81"/>
            <rFont val="Tahoma"/>
            <family val="2"/>
          </rPr>
          <t xml:space="preserve">
In case of companies earning negative FCF, where this model will not work, you must use a normalized positive FCF as the starting number. This number is your assumption of FCF the business will earn in a normal year, without capex.</t>
        </r>
      </text>
    </comment>
    <comment ref="A5" authorId="1">
      <text>
        <r>
          <rPr>
            <b/>
            <sz val="9"/>
            <color indexed="81"/>
            <rFont val="Tahoma"/>
            <family val="2"/>
          </rPr>
          <t>Vishnu:</t>
        </r>
        <r>
          <rPr>
            <sz val="9"/>
            <color indexed="81"/>
            <rFont val="Tahoma"/>
            <family val="2"/>
          </rPr>
          <t xml:space="preserve">
choose from dropdown</t>
        </r>
      </text>
    </comment>
    <comment ref="A7" authorId="1">
      <text>
        <r>
          <rPr>
            <b/>
            <sz val="9"/>
            <color indexed="81"/>
            <rFont val="Tahoma"/>
            <family val="2"/>
          </rPr>
          <t>Vishnu:</t>
        </r>
        <r>
          <rPr>
            <sz val="9"/>
            <color indexed="81"/>
            <rFont val="Tahoma"/>
            <family val="2"/>
          </rPr>
          <t xml:space="preserve">
Reverse DCF:
Click on --&gt; Data --&gt; What If Analysis --&gt; Goal Seek --&gt; Set cell = Value Per Share, To Value = Share Price, By Changing Cell = FCF Growth Rate
</t>
        </r>
      </text>
    </comment>
    <comment ref="A9" authorId="0">
      <text>
        <r>
          <rPr>
            <b/>
            <sz val="9"/>
            <color indexed="81"/>
            <rFont val="Tahoma"/>
            <family val="2"/>
          </rPr>
          <t xml:space="preserve">Investor Diary: </t>
        </r>
        <r>
          <rPr>
            <sz val="9"/>
            <color indexed="81"/>
            <rFont val="Tahoma"/>
            <family val="2"/>
          </rPr>
          <t xml:space="preserve">Since it isn’t practical to forecast cash flows for an infinite number of years, it’s usual to end the DCF with a terminal value.
Never input more than 4% as the terminal growth rate.
</t>
        </r>
      </text>
    </comment>
    <comment ref="A11" authorId="2">
      <text>
        <r>
          <rPr>
            <b/>
            <sz val="9"/>
            <color indexed="81"/>
            <rFont val="Tahoma"/>
            <family val="2"/>
          </rPr>
          <t xml:space="preserve">Investor Diary: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 ref="B44" authorId="1">
      <text>
        <r>
          <rPr>
            <b/>
            <sz val="9"/>
            <color indexed="81"/>
            <rFont val="Tahoma"/>
            <family val="2"/>
          </rPr>
          <t>Vishnu:</t>
        </r>
        <r>
          <rPr>
            <sz val="9"/>
            <color indexed="81"/>
            <rFont val="Tahoma"/>
            <family val="2"/>
          </rPr>
          <t xml:space="preserve">
it is very hard for companies to generate greater than 15% ROE forever, so be conservative</t>
        </r>
      </text>
    </comment>
    <comment ref="C44" authorId="1">
      <text>
        <r>
          <rPr>
            <b/>
            <sz val="9"/>
            <color indexed="81"/>
            <rFont val="Tahoma"/>
            <family val="2"/>
          </rPr>
          <t>Vishnu:</t>
        </r>
        <r>
          <rPr>
            <sz val="9"/>
            <color indexed="81"/>
            <rFont val="Tahoma"/>
            <family val="2"/>
          </rPr>
          <t xml:space="preserve">
adjust this number in such a way that growth will not exceed 4%, no company can grow higher than economy forever</t>
        </r>
      </text>
    </comment>
    <comment ref="D44" authorId="1">
      <text>
        <r>
          <rPr>
            <b/>
            <sz val="9"/>
            <color indexed="81"/>
            <rFont val="Tahoma"/>
            <family val="2"/>
          </rPr>
          <t>Vishnu:</t>
        </r>
        <r>
          <rPr>
            <sz val="9"/>
            <color indexed="81"/>
            <rFont val="Tahoma"/>
            <family val="2"/>
          </rPr>
          <t xml:space="preserve">
this no. should not exceed more than 4%</t>
        </r>
      </text>
    </comment>
    <comment ref="C52" authorId="1">
      <text>
        <r>
          <rPr>
            <b/>
            <sz val="9"/>
            <color indexed="81"/>
            <rFont val="Tahoma"/>
            <family val="2"/>
          </rPr>
          <t>Vishnu:</t>
        </r>
        <r>
          <rPr>
            <sz val="9"/>
            <color indexed="81"/>
            <rFont val="Tahoma"/>
            <family val="2"/>
          </rPr>
          <t xml:space="preserve">
CHOOSE A NUMBER BASED ON HISTORICAL AVG</t>
        </r>
      </text>
    </comment>
    <comment ref="A68" authorId="1">
      <text>
        <r>
          <rPr>
            <b/>
            <sz val="9"/>
            <color indexed="81"/>
            <rFont val="Tahoma"/>
            <family val="2"/>
          </rPr>
          <t>Vishnu:</t>
        </r>
        <r>
          <rPr>
            <sz val="9"/>
            <color indexed="81"/>
            <rFont val="Tahoma"/>
            <family val="2"/>
          </rPr>
          <t xml:space="preserve">
Smaller companies are generally riskier than large companies because they are more vulnerable to adverse events. They also usually have less diversified product lines and customer bases.
</t>
        </r>
      </text>
    </comment>
    <comment ref="A69" authorId="1">
      <text>
        <r>
          <rPr>
            <b/>
            <sz val="9"/>
            <color indexed="81"/>
            <rFont val="Tahoma"/>
            <family val="2"/>
          </rPr>
          <t>Vishnu:</t>
        </r>
        <r>
          <rPr>
            <sz val="9"/>
            <color indexed="81"/>
            <rFont val="Tahoma"/>
            <family val="2"/>
          </rPr>
          <t xml:space="preserve">
Companies with more debt are generally riskier than companies with less debt. Look at a Company's debt-to-equity ratio, interest coverage ratio, and a few other factors to determine the degree of a company's risk from financial leverage.
</t>
        </r>
      </text>
    </comment>
    <comment ref="A70" authorId="1">
      <text>
        <r>
          <rPr>
            <b/>
            <sz val="9"/>
            <color indexed="81"/>
            <rFont val="Tahoma"/>
            <family val="2"/>
          </rPr>
          <t>Vishnu:</t>
        </r>
        <r>
          <rPr>
            <sz val="9"/>
            <color indexed="81"/>
            <rFont val="Tahoma"/>
            <family val="2"/>
          </rPr>
          <t xml:space="preserve">
Since cash flows of cyclical companies are much tougher to forecast than stable companies, their level of risk increases.
</t>
        </r>
      </text>
    </comment>
    <comment ref="A71" authorId="1">
      <text>
        <r>
          <rPr>
            <b/>
            <sz val="9"/>
            <color indexed="81"/>
            <rFont val="Tahoma"/>
            <family val="2"/>
          </rPr>
          <t>Vishnu:</t>
        </r>
        <r>
          <rPr>
            <sz val="9"/>
            <color indexed="81"/>
            <rFont val="Tahoma"/>
            <family val="2"/>
          </rPr>
          <t xml:space="preserve">
Does the company have a wide moat, a narrow moat, or no moat? The wider its moat, the more likely it will be able to keep competitors at bay and generate a reliable stream of cash flows.
</t>
        </r>
      </text>
    </comment>
    <comment ref="A72" authorId="1">
      <text>
        <r>
          <rPr>
            <b/>
            <sz val="9"/>
            <color indexed="81"/>
            <rFont val="Tahoma"/>
            <family val="2"/>
          </rPr>
          <t>Vishnu:</t>
        </r>
        <r>
          <rPr>
            <sz val="9"/>
            <color indexed="81"/>
            <rFont val="Tahoma"/>
            <family val="2"/>
          </rPr>
          <t xml:space="preserve">
Companies with promotional managers, who draw high salaries, have too many related-party transactions, etc, are definitely riskier than companies with managers who don't display these traits.
</t>
        </r>
      </text>
    </comment>
    <comment ref="A73" authorId="1">
      <text>
        <r>
          <rPr>
            <b/>
            <sz val="9"/>
            <color indexed="81"/>
            <rFont val="Tahoma"/>
            <family val="2"/>
          </rPr>
          <t>Vishnu:</t>
        </r>
        <r>
          <rPr>
            <sz val="9"/>
            <color indexed="81"/>
            <rFont val="Tahoma"/>
            <family val="2"/>
          </rPr>
          <t xml:space="preserve">
Companies with extremely complex businesses or financial structures are riskier than simple, easy to understand companies.
</t>
        </r>
      </text>
    </comment>
  </commentList>
</comments>
</file>

<file path=xl/sharedStrings.xml><?xml version="1.0" encoding="utf-8"?>
<sst xmlns="http://schemas.openxmlformats.org/spreadsheetml/2006/main" count="1059" uniqueCount="768">
  <si>
    <t>COMPANY NAME</t>
  </si>
  <si>
    <t>SCREENER.IN</t>
  </si>
  <si>
    <t>Narration</t>
  </si>
  <si>
    <t>Trailing</t>
  </si>
  <si>
    <t>Sales</t>
  </si>
  <si>
    <t>Expenses</t>
  </si>
  <si>
    <t>Operating Profit</t>
  </si>
  <si>
    <t>Other Income</t>
  </si>
  <si>
    <t>Depreciation</t>
  </si>
  <si>
    <t>Interest</t>
  </si>
  <si>
    <t>Profit before tax</t>
  </si>
  <si>
    <t>Tax</t>
  </si>
  <si>
    <t>Net profit</t>
  </si>
  <si>
    <t>OPM</t>
  </si>
  <si>
    <t>TRENDS:</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</si>
  <si>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</si>
  <si>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</si>
  <si>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</si>
  <si>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</si>
  <si>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</si>
  <si>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</si>
  <si>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</si>
  <si>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</si>
  <si>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</si>
  <si>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</si>
  <si>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</si>
  <si>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</si>
  <si>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</si>
  <si>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</si>
  <si>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</si>
  <si>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</si>
  <si>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</si>
  <si>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</si>
  <si>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</si>
  <si>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</si>
  <si>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Inventory</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</si>
  <si>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</si>
  <si>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</si>
  <si>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</si>
  <si>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</si>
  <si>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</si>
  <si>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</si>
  <si>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</si>
  <si>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</si>
  <si>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</si>
  <si>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</si>
  <si>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</si>
  <si>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Return on Equity</t>
  </si>
  <si>
    <t>LATEST VERSION</t>
  </si>
  <si>
    <t>CURRENT VERSION</t>
  </si>
  <si>
    <t>AVANTI FEEDS LTD</t>
  </si>
  <si>
    <t>META</t>
  </si>
  <si>
    <t>10 YEARS</t>
  </si>
  <si>
    <t>7 YEARS</t>
  </si>
  <si>
    <t>5 YEARS</t>
  </si>
  <si>
    <t>3 YEARS</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</si>
  <si>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</si>
  <si>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</si>
  <si>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</si>
  <si>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</si>
  <si>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</si>
  <si>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</si>
  <si>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</si>
  <si>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</si>
  <si>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</si>
  <si>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</si>
  <si>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</si>
  <si>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</si>
  <si>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</si>
  <si>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</si>
  <si>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</si>
  <si>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</si>
  <si>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</si>
  <si>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</si>
  <si>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</si>
  <si>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</si>
  <si>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</si>
  <si>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</si>
  <si>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</si>
  <si>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Net Profit Margin</t>
  </si>
  <si>
    <t>% Growth YOY</t>
  </si>
  <si>
    <t>Cash from Operating Activity (CFO)</t>
  </si>
  <si>
    <t>CFO/Sales</t>
  </si>
  <si>
    <t>CFO/Net Profit</t>
  </si>
  <si>
    <t>PBT Margin</t>
  </si>
  <si>
    <t>Selling and Admin Cost</t>
  </si>
  <si>
    <t>Year</t>
  </si>
  <si>
    <t>FCF (Rs Cr)</t>
  </si>
  <si>
    <t>PV of FCF (Rs Cr)</t>
  </si>
  <si>
    <t>Assumed FCF Growth</t>
  </si>
  <si>
    <t>Year 1-3</t>
  </si>
  <si>
    <t>FY18</t>
  </si>
  <si>
    <t>Year 4-6</t>
  </si>
  <si>
    <t>FY19</t>
  </si>
  <si>
    <t>Year 7-10</t>
  </si>
  <si>
    <t>FY20</t>
  </si>
  <si>
    <t>FY21</t>
  </si>
  <si>
    <t>Discount Rate</t>
  </si>
  <si>
    <t>FY22</t>
  </si>
  <si>
    <t>FY23</t>
  </si>
  <si>
    <t>FY24</t>
  </si>
  <si>
    <t>FY25</t>
  </si>
  <si>
    <t>FY26</t>
  </si>
  <si>
    <t>FY27</t>
  </si>
  <si>
    <t>Current Mkt. Cap.</t>
  </si>
  <si>
    <t>Excess Cash (Latest)</t>
  </si>
  <si>
    <t>FCF</t>
  </si>
  <si>
    <t>Average FCF (3 Years)</t>
  </si>
  <si>
    <t>PBT</t>
  </si>
  <si>
    <t>Intrinsic Value</t>
  </si>
  <si>
    <t>Dhandho</t>
  </si>
  <si>
    <t>Years</t>
  </si>
  <si>
    <t>FCF Growth Rate</t>
  </si>
  <si>
    <t>Terminal Growth Rate</t>
  </si>
  <si>
    <t>Growth</t>
  </si>
  <si>
    <t>Present Value</t>
  </si>
  <si>
    <t>Final Calculations</t>
  </si>
  <si>
    <t>Terminal Year</t>
  </si>
  <si>
    <t>PV of Year 1-10 Cash Flows</t>
  </si>
  <si>
    <t>Terminal Value</t>
  </si>
  <si>
    <t>Total PV of Cash Flows</t>
  </si>
  <si>
    <t>Particulars</t>
  </si>
  <si>
    <t>CAGR (5-Yr)</t>
  </si>
  <si>
    <t>Current P/E (x)</t>
  </si>
  <si>
    <t>Exit P/E in the 10th year from now (x, Estimated)</t>
  </si>
  <si>
    <t>CAGR (9-Yr)</t>
  </si>
  <si>
    <t>Estimated CAGR in Net Profit over next 10 years</t>
  </si>
  <si>
    <t>Estimated Net Profit after 10 years (Rs Cr)</t>
  </si>
  <si>
    <t>Net Profit (Rs Crore)</t>
  </si>
  <si>
    <t>Esti. Market Cap (10th year from now; Rs Cr)</t>
  </si>
  <si>
    <t>Current Market Cap (Rs Cr)</t>
  </si>
  <si>
    <t>Discounted Value (Rs Cr)</t>
  </si>
  <si>
    <r>
      <t>Calculations</t>
    </r>
    <r>
      <rPr>
        <sz val="10"/>
        <color rgb="FFC00000"/>
        <rFont val="Arial"/>
        <family val="2"/>
      </rPr>
      <t xml:space="preserve"> </t>
    </r>
    <r>
      <rPr>
        <i/>
        <sz val="10"/>
        <color theme="1"/>
        <rFont val="Arial"/>
        <family val="2"/>
      </rPr>
      <t>(Enter values only in black cells)</t>
    </r>
  </si>
  <si>
    <t>Current Market Cap</t>
  </si>
  <si>
    <t>Dicounted Cash Flow Valuation</t>
  </si>
  <si>
    <t>Initial Cash Flow (Rs Cr)</t>
  </si>
  <si>
    <t>Net Debt Level (Rs Cr)</t>
  </si>
  <si>
    <t>DCF</t>
  </si>
  <si>
    <r>
      <t xml:space="preserve">DCF Value </t>
    </r>
    <r>
      <rPr>
        <b/>
        <i/>
        <sz val="10"/>
        <color theme="1"/>
        <rFont val="Arial"/>
        <family val="2"/>
      </rPr>
      <t>(As calculated in cell B29)</t>
    </r>
  </si>
  <si>
    <t>Total Liabilities</t>
  </si>
  <si>
    <t>Total Assets</t>
  </si>
  <si>
    <t>Profit Before Tax</t>
  </si>
  <si>
    <t>Net Profit</t>
  </si>
  <si>
    <t>FCF/Sales</t>
  </si>
  <si>
    <t>FCF/Net Profit</t>
  </si>
  <si>
    <t>Lower</t>
  </si>
  <si>
    <t>Higher</t>
  </si>
  <si>
    <t>Cost of Capital/Discount Rate</t>
  </si>
  <si>
    <t>Rs Cr</t>
  </si>
  <si>
    <t>Market Cap</t>
  </si>
  <si>
    <t>Basic Company Details</t>
  </si>
  <si>
    <t>Parameters</t>
  </si>
  <si>
    <t>Details</t>
  </si>
  <si>
    <t>Company</t>
  </si>
  <si>
    <t>Current Stock Price (Rs)</t>
  </si>
  <si>
    <t>Face Value (Rs)</t>
  </si>
  <si>
    <t>No. of Shares (Crore)</t>
  </si>
  <si>
    <t>Market Capitalization (Rs Crore)</t>
  </si>
  <si>
    <t>Net Profit Growth (8-Year CAGR)</t>
  </si>
  <si>
    <t>Average Debt/Equity (5-Years, x)</t>
  </si>
  <si>
    <t>Average Return on Equity (5-Years)</t>
  </si>
  <si>
    <t>Key Financials - Trend</t>
  </si>
  <si>
    <t>Sales Growth (9-Year CAGR)</t>
  </si>
  <si>
    <t>Profit Before Tax Growth (9-Year CAGR)</t>
  </si>
  <si>
    <t>Latest P/E (x)</t>
  </si>
  <si>
    <t>Average P/E (5-Years, x)</t>
  </si>
  <si>
    <t>Intrinsic Value Range</t>
  </si>
  <si>
    <t>Check for long term vs short term trends here. Check if the growth over past 3 or 5 years has slowed down / improved compared to long term (7 to 10 years) growth numbers.</t>
  </si>
  <si>
    <t>Dhandho Intrinsic Value Calculation</t>
  </si>
  <si>
    <t>Read the book - The Dhandho Investor by Mohnish Pabrai</t>
  </si>
  <si>
    <t>A common-size financial statement is displays line items as a percentage of one selected or common figure. Creating common-size financial statements makes it easier to analyze a company over time and compare it with its peers. Using common-size financial statements helps investors spot trends that a raw financial statement may not uncover.</t>
  </si>
  <si>
    <t>Last 5-Years' CAGR</t>
  </si>
  <si>
    <t>Balance Sheet</t>
  </si>
  <si>
    <t>Cash Flow Statement</t>
  </si>
  <si>
    <t>DCF as % of Current Mkt Cap</t>
  </si>
  <si>
    <t>Current Market Cap.</t>
  </si>
  <si>
    <r>
      <rPr>
        <b/>
        <sz val="10"/>
        <color theme="1"/>
        <rFont val="Arial"/>
        <family val="2"/>
      </rPr>
      <t>Note:</t>
    </r>
    <r>
      <rPr>
        <sz val="10"/>
        <color theme="1"/>
        <rFont val="Arial"/>
        <family val="2"/>
      </rPr>
      <t xml:space="preserve"> All data is sourced from Screener.in</t>
    </r>
  </si>
  <si>
    <t>% Growth YoY</t>
  </si>
  <si>
    <t>FCF Growth YoY</t>
  </si>
  <si>
    <t>share price</t>
  </si>
  <si>
    <t>Investor Diary Stock Analysis Excel</t>
  </si>
  <si>
    <t>http://www.investordiary.in/</t>
  </si>
  <si>
    <t>HOW TO USE THIS SPREADSHEET?</t>
  </si>
  <si>
    <r>
      <rPr>
        <b/>
        <sz val="11"/>
        <color theme="1"/>
        <rFont val="Calibri"/>
        <family val="2"/>
        <scheme val="minor"/>
      </rPr>
      <t>Step 3</t>
    </r>
    <r>
      <rPr>
        <sz val="11"/>
        <color theme="1"/>
        <rFont val="Calibri"/>
        <family val="2"/>
        <scheme val="minor"/>
      </rPr>
      <t xml:space="preserve"> - Visit the home page of Screener.in and choose a company of your choice. Once you do that, you will see details of your 
                 chosen company. Scroll down and come to the first financial statement table called "Quarterly Results" and click on "View 
                 Consolidated". Now, all data you see for this company will be consolidated.</t>
    </r>
  </si>
  <si>
    <r>
      <rPr>
        <b/>
        <sz val="11"/>
        <color theme="1"/>
        <rFont val="Calibri"/>
        <family val="2"/>
        <scheme val="minor"/>
      </rPr>
      <t>Step 4</t>
    </r>
    <r>
      <rPr>
        <sz val="11"/>
        <color theme="1"/>
        <rFont val="Calibri"/>
        <family val="2"/>
        <scheme val="minor"/>
      </rPr>
      <t xml:space="preserve"> - Scroll back to the top of the page, and you will see a button "Export to Excel" on the right side. Click the button and the
                company's financial data will be exported in an excel file in the exact format as "Investor Diary Stock Analysis Excel".
                Now onwards, any excel you export for any company on Screener.in will be downloaded in this very format.</t>
    </r>
  </si>
  <si>
    <t>IMPORTANT INSTRUCTIONS?</t>
  </si>
  <si>
    <t>CFFO</t>
  </si>
  <si>
    <t xml:space="preserve">Premium/(Discount) </t>
  </si>
  <si>
    <t>Share Price</t>
  </si>
  <si>
    <t>Value Per Share</t>
  </si>
  <si>
    <t>PASS</t>
  </si>
  <si>
    <t>Does the firm pass minimum quality hurdle?</t>
  </si>
  <si>
    <t>YES</t>
  </si>
  <si>
    <t>Has the firm ever made an operating profit?</t>
  </si>
  <si>
    <t>Does the company generate consistent cash flow from operations?</t>
  </si>
  <si>
    <t>Are returns on equity consistently above 15% with reasonable leverage?</t>
  </si>
  <si>
    <t>Is earnings growth consistent or erratic?</t>
  </si>
  <si>
    <t>CYCLICAL</t>
  </si>
  <si>
    <t>How clean is the balance sheet?</t>
  </si>
  <si>
    <t>If financial leverage ratio above 4 or debt-to-equity ratio above 1</t>
  </si>
  <si>
    <t>a</t>
  </si>
  <si>
    <t>Is the firm in a stable business?</t>
  </si>
  <si>
    <t>b</t>
  </si>
  <si>
    <t>Has debt been going down or up as a percantage of total assets?</t>
  </si>
  <si>
    <t>c</t>
  </si>
  <si>
    <t>Do you understand the debt?</t>
  </si>
  <si>
    <t>Does the firm generate free cash flow?</t>
  </si>
  <si>
    <t>How much other is there?(One-time charges, etc)</t>
  </si>
  <si>
    <t>Has the number of shares outstanding increased markedly over the past several years?</t>
  </si>
  <si>
    <t>NO</t>
  </si>
  <si>
    <t>Assuming no big acquisitions, if shares outstanding are consistently increasing around</t>
  </si>
  <si>
    <t>by more than 2% per year, think long and hard before investing the firm</t>
  </si>
  <si>
    <t>FINANCIAL HEALTH</t>
  </si>
  <si>
    <t>FINANCIAL LEVERAGE=</t>
  </si>
  <si>
    <t>DEBT TO EQUITY RATIO=</t>
  </si>
  <si>
    <t>LESS THAN 1 IS GOOD</t>
  </si>
  <si>
    <t>INTEREST COVERAGE RATIO=</t>
  </si>
  <si>
    <t>HIGHER IS BETTER (atleast greater than 10)</t>
  </si>
  <si>
    <t>AVG</t>
  </si>
  <si>
    <t>MIN</t>
  </si>
  <si>
    <t>MAX</t>
  </si>
  <si>
    <t>DAYS IN INVENTORY</t>
  </si>
  <si>
    <t>DAYS IN RECEIVABLES</t>
  </si>
  <si>
    <t>Total assets/Total liabilities=</t>
  </si>
  <si>
    <t>Total debt/Total assets=</t>
  </si>
  <si>
    <t>Total debt/Total equity=</t>
  </si>
  <si>
    <t>Interest coverage ratio=</t>
  </si>
  <si>
    <t>CFFO/capital expenditures=</t>
  </si>
  <si>
    <t>Depreciation/CFFO=</t>
  </si>
  <si>
    <t>Capital expenditures/Depreciation=</t>
  </si>
  <si>
    <t>TOTAL DEBT / CASH FLOW =</t>
  </si>
  <si>
    <t>LESS THAN 3 IS BEST</t>
  </si>
  <si>
    <t>PROFITABILITY</t>
  </si>
  <si>
    <t>YEAR</t>
  </si>
  <si>
    <t>NET MARGIN%</t>
  </si>
  <si>
    <t>ASSET TURNOVER</t>
  </si>
  <si>
    <t>RETURN ON ASSETS%</t>
  </si>
  <si>
    <t>FINANCIAL LEVERAGE</t>
  </si>
  <si>
    <t>RETURN ON EQUITY%</t>
  </si>
  <si>
    <t>FREE CASH FLOW = CASHFLOW FROM OPERATIONS-CAPITAL SPENDING</t>
  </si>
  <si>
    <t>CFFO (CASH FLOW STATEMENT)</t>
  </si>
  <si>
    <t>CAPITAL EXPENDITURE</t>
  </si>
  <si>
    <t>OWNER'S EARNINGS(FCFE)</t>
  </si>
  <si>
    <t>FREE CASH FLOW/SALES(%)</t>
  </si>
  <si>
    <t>MINIMUM 5% IS GOOD</t>
  </si>
  <si>
    <t>DUPONT-ANALYSIS</t>
  </si>
  <si>
    <t>FREE CASH FLOW TO SALES ANALYSIS</t>
  </si>
  <si>
    <t>PROFITABILITY MATRIX</t>
  </si>
  <si>
    <t>FREE CASH FLOW TO SALES</t>
  </si>
  <si>
    <t>HIGH</t>
  </si>
  <si>
    <t>LESS RISKY COMPANY</t>
  </si>
  <si>
    <t>RETURN ON EQUITY %</t>
  </si>
  <si>
    <t>GOOD FREE CASH FLOW BUT BAD ROE</t>
  </si>
  <si>
    <t>GREAT COMPANY</t>
  </si>
  <si>
    <t>FREE CASH FLOW 5%</t>
  </si>
  <si>
    <t>HIGH RISK COMPANY</t>
  </si>
  <si>
    <t>WORST COMPANY</t>
  </si>
  <si>
    <t>GOOD ROE BUT BAD FREE CASH FLOW</t>
  </si>
  <si>
    <t>LOW</t>
  </si>
  <si>
    <t>RETURN ON EQUITY</t>
  </si>
  <si>
    <t>PROTABILITY MATRIX</t>
  </si>
  <si>
    <t>ROE&lt;15% AND FREE CASH FLOW&gt;5%</t>
  </si>
  <si>
    <t>ROE&gt;15% AND FREE CASH FLOW&gt;5%</t>
  </si>
  <si>
    <t>ROE&gt;15% AND FREE CASH FLOW&lt;5%</t>
  </si>
  <si>
    <t>ROE&lt;15% AND FREE CASH FLOW&lt;5%</t>
  </si>
  <si>
    <t>EARNINGS YIELD</t>
  </si>
  <si>
    <t>RELATIVE VALUATION</t>
  </si>
  <si>
    <t>10 YEAR GOVT BOND YIELD</t>
  </si>
  <si>
    <t>YIELD SPREAD</t>
  </si>
  <si>
    <t>click here to know govt bond yield</t>
  </si>
  <si>
    <t>1. EARNINGS YIELD</t>
  </si>
  <si>
    <t>2. CASH RETURN</t>
  </si>
  <si>
    <t>CASH RETURN</t>
  </si>
  <si>
    <t>3. HISTORICAL PRICE TO EARNINGS RATIO</t>
  </si>
  <si>
    <t>P/E RATIO</t>
  </si>
  <si>
    <t>P/S RATIO</t>
  </si>
  <si>
    <t>TRAILING P/E RATIO</t>
  </si>
  <si>
    <t>3 YR AVG P/E RATIO</t>
  </si>
  <si>
    <t>5 YR AVG P/E RATIO</t>
  </si>
  <si>
    <t>10 YR AVG P/E RATIO</t>
  </si>
  <si>
    <t>3 YR AVG P/S RATIO</t>
  </si>
  <si>
    <t>5 YR AVG P/S RATIO</t>
  </si>
  <si>
    <t>10 YR AVG P/S RATIO</t>
  </si>
  <si>
    <t>TRAILING P/S RATIO</t>
  </si>
  <si>
    <t>4. HISTORICAL PRICE TO SALES RATIO</t>
  </si>
  <si>
    <t>5. HISTORICAL PRICE TO BOOK RATIO</t>
  </si>
  <si>
    <t>P/B RATIO</t>
  </si>
  <si>
    <t>3 YR AVG P/B RATIO</t>
  </si>
  <si>
    <t>5 YR AVG P/B RATIO</t>
  </si>
  <si>
    <t>10 YR AVG P/B RATIO</t>
  </si>
  <si>
    <t>TRAILING P/B RATIO</t>
  </si>
  <si>
    <t>Avoid low market cap (minimum 500 crores) and IPO companies</t>
  </si>
  <si>
    <t>STUDY ITS PRODUCTS/SERVICES CAREFULLY,CHECK WHETHER THEY EXIST IN REAL WORLD AND WHAT THEY CLAIM ABOUT THEIR PRODUCT/SERVICE IS TRUE OR MAKES SENSE.</t>
  </si>
  <si>
    <t>READ ATLEAST 10 YEARS OF ANNUAL REPORTS SLOWLY AND SKEPTICALLY.</t>
  </si>
  <si>
    <t>ARE YOU EXITED BY STORYLINE AND IGNORING WARNING SIGNS?</t>
  </si>
  <si>
    <t>IS IT JUST LOW P/E OR LOW VALUATION THAT IS TEMPTING YOU TO INVEST? BUY CHEAP STOCKS, BUT NOT CHEAP QUALITY STOCKS.</t>
  </si>
  <si>
    <t>STAY AWAY FROM ACQUISITION HUNGRY COMPANIES.</t>
  </si>
  <si>
    <t>STAY AWAY FROM COMPANIES WHERE INSIDERS ARE SELLING LARGE STAKES.</t>
  </si>
  <si>
    <t>PROMOTER SHARES ARE PLEDGED,THAT IS ALMOST EQUAL TO SELLING SHARES, SO BE WARY.</t>
  </si>
  <si>
    <t>ANALYSE RELATED PARTY TRANSACTIONS CAREFULLY, ESPECIALLY LOANS.</t>
  </si>
  <si>
    <t xml:space="preserve">READ 10-YEARS OF AUDITOR REPORTS. </t>
  </si>
  <si>
    <t>NO FINANCIAL DATA ABOUT ACQUIRED COMPANIES, WATCH OUT.</t>
  </si>
  <si>
    <t>NEVER INVEST IN COMPANIES WITH HIGH POLITICAL CONNECTION.</t>
  </si>
  <si>
    <t>NEVER PLACE YOUR BUY ORDER WITHOUT GOING THROUGH THIS CHECKLIST</t>
  </si>
  <si>
    <t>IF YOU FIND ANY RED FLAGS IN YOUR ANALYSIS, NEVER IGNORE, DIG DEEPER.</t>
  </si>
  <si>
    <t>IF RESULTS ARE GETTING DELAYED.STAY AWAY.</t>
  </si>
  <si>
    <t>READ 10-YEARS OF REVENUE RECOGNITION POLICIES AND WATCH OUT FOR ANY POLICY CHANGES.</t>
  </si>
  <si>
    <t>INVENTORY TURNOVER</t>
  </si>
  <si>
    <t>Cf-finance</t>
  </si>
  <si>
    <t>Cf-invest</t>
  </si>
  <si>
    <t>MORE THAN 4 IS RISKY</t>
  </si>
  <si>
    <t>USE COMMON FORM ANALYSIS AND FINANCIAL HEALTH WORKSHEET TO ANALYSE THE BALANCE SHEET</t>
  </si>
  <si>
    <t>FIXED ASSET TURNOVER</t>
  </si>
  <si>
    <t>RETURN ON CAPITAL EMPLOYED%</t>
  </si>
  <si>
    <t>Common Form Balance Sheet</t>
  </si>
  <si>
    <t>Common Form P&amp;L</t>
  </si>
  <si>
    <t>Capex</t>
  </si>
  <si>
    <t>Is cffo  sufficient to cover cap ex?</t>
  </si>
  <si>
    <t>What are the major sources of cash?</t>
  </si>
  <si>
    <t>Relationship between Net Profit &amp; CFFO for past 10yrs?</t>
  </si>
  <si>
    <t>IF COMPANY IS FACING TROUBLES COLLECTING CASH (INCREASING RECEIVABLE DAYS).STAY AWAY.</t>
  </si>
  <si>
    <t>BE WARY WITH COMPANIES NOT CONDUCTING CONFERENCE CALLS AND NO CHAIRMANS LETTER IN THE ANNUAL REPORT.</t>
  </si>
  <si>
    <t>Depreciation as % of NFA</t>
  </si>
  <si>
    <t>Net Fixed Asset Turnover</t>
  </si>
  <si>
    <t>NFA</t>
  </si>
  <si>
    <t>(1-DPR)</t>
  </si>
  <si>
    <r>
      <rPr>
        <u/>
        <sz val="11"/>
        <rFont val="Calibri"/>
        <family val="2"/>
      </rPr>
      <t>Step 1 - This spreadsheet works only on Screener.in. The first step is to create a free account here -</t>
    </r>
    <r>
      <rPr>
        <u/>
        <sz val="11"/>
        <color theme="10"/>
        <rFont val="Calibri"/>
        <family val="2"/>
      </rPr>
      <t xml:space="preserve"> </t>
    </r>
    <r>
      <rPr>
        <u/>
        <sz val="11"/>
        <color rgb="FF0000FF"/>
        <rFont val="Calibri"/>
        <family val="2"/>
      </rPr>
      <t>https://www.screener.in/register/</t>
    </r>
  </si>
  <si>
    <t>SELF-SUSTAINABLE GROWTH RATE (SSGR)</t>
  </si>
  <si>
    <t>2-MINUTE TEST</t>
  </si>
  <si>
    <t>%change</t>
  </si>
  <si>
    <t>NFAT</t>
  </si>
  <si>
    <t>NPM</t>
  </si>
  <si>
    <t>DPR</t>
  </si>
  <si>
    <t>DEP</t>
  </si>
  <si>
    <t>FORMALA FOR SSGR = NFAT*NPM*(1-DPR)-DEP</t>
  </si>
  <si>
    <t>SALES GROWTH RATE (CAGR)</t>
  </si>
  <si>
    <t>PBT Growth (CAGR)</t>
  </si>
  <si>
    <t>Net Profit Growth (CAGR)</t>
  </si>
  <si>
    <t xml:space="preserve">Price to Earning </t>
  </si>
  <si>
    <t>the Cash Flow Statement of the Company</t>
  </si>
  <si>
    <t xml:space="preserve">Some Important Questions to Ask while Analysing </t>
  </si>
  <si>
    <t>GOOD</t>
  </si>
  <si>
    <t>BAD</t>
  </si>
  <si>
    <t>☺</t>
  </si>
  <si>
    <t>WOW, IT'S CHEAP!</t>
  </si>
  <si>
    <t>CHEAP</t>
  </si>
  <si>
    <t>EXPENSIVE</t>
  </si>
  <si>
    <t>FAIL</t>
  </si>
  <si>
    <t>LOW-DEBT</t>
  </si>
  <si>
    <t>MODERATELY-LOW DEBT</t>
  </si>
  <si>
    <t>MODERATE DEBT</t>
  </si>
  <si>
    <t>MODERATELY-HIGH DEBT</t>
  </si>
  <si>
    <t>HIGH-DEBT</t>
  </si>
  <si>
    <t>DEBT-FREE</t>
  </si>
  <si>
    <t>ERRATIC</t>
  </si>
  <si>
    <t>CONSISTENT</t>
  </si>
  <si>
    <t xml:space="preserve">CYCLICAL </t>
  </si>
  <si>
    <t xml:space="preserve">NONE </t>
  </si>
  <si>
    <t>FEW</t>
  </si>
  <si>
    <t>A LOT</t>
  </si>
  <si>
    <t>NSI</t>
  </si>
  <si>
    <t>ENTER MANUALLY</t>
  </si>
  <si>
    <t>UNDER-VALUED</t>
  </si>
  <si>
    <t>OVER-VALUED</t>
  </si>
  <si>
    <t>CFFO (Good, i.e., business is generating cash)</t>
  </si>
  <si>
    <t>CFI (Bad, i.e, instead of reinvesting in business, they are liquidating it)</t>
  </si>
  <si>
    <t>Cash Flow From Operating Activities</t>
  </si>
  <si>
    <t>Cash Flow From Investing Activities</t>
  </si>
  <si>
    <t>Cash Flow From Financing Activities</t>
  </si>
  <si>
    <t>Multiple Sources</t>
  </si>
  <si>
    <t xml:space="preserve">Consistent </t>
  </si>
  <si>
    <t xml:space="preserve">In-Consistent </t>
  </si>
  <si>
    <t>IT'S EXPENSIVE</t>
  </si>
  <si>
    <t>☹</t>
  </si>
  <si>
    <t>%</t>
  </si>
  <si>
    <t>INCOME STATEMENT</t>
  </si>
  <si>
    <t>SALES</t>
  </si>
  <si>
    <t>COST OF GOODS SOLD</t>
  </si>
  <si>
    <t>GROSS PROFIT</t>
  </si>
  <si>
    <t>SELLING,GENERAL&amp;ADMINISTRATIVE EXP</t>
  </si>
  <si>
    <t>OPERATING INCOME BEFORE DEPRECIATION</t>
  </si>
  <si>
    <t>DEPRECIATION,DEPLETION&amp;AMORTIZATION</t>
  </si>
  <si>
    <t>OPERATING PROFIT</t>
  </si>
  <si>
    <t>INTEREST EXPENSE</t>
  </si>
  <si>
    <t>PRETAX INCOME</t>
  </si>
  <si>
    <t>TOTAL TAXES</t>
  </si>
  <si>
    <t>OTHER INCOME/EXPENSE</t>
  </si>
  <si>
    <t>EXPENSES</t>
  </si>
  <si>
    <t>COST OF MATERIALS CONSUMED</t>
  </si>
  <si>
    <t>CHANGES IN INVENTORY</t>
  </si>
  <si>
    <t>EMPLOYEE BENEFIT EXPENSES</t>
  </si>
  <si>
    <t>FINANCE COSTS</t>
  </si>
  <si>
    <t>DEPRECIATION</t>
  </si>
  <si>
    <t>OTHER EXPENSES</t>
  </si>
  <si>
    <t>POWER AND FUEL</t>
  </si>
  <si>
    <t>OTHER MANUFACTURING EXPENSES</t>
  </si>
  <si>
    <t>SELLING AND ADMIN</t>
  </si>
  <si>
    <t>% of Growth YoY</t>
  </si>
  <si>
    <t>OTHER INCOME</t>
  </si>
  <si>
    <t>PRICE TO EARNINGS</t>
  </si>
  <si>
    <t>PRICE</t>
  </si>
  <si>
    <t>DIVIDEND PAYOUT RATIO</t>
  </si>
  <si>
    <t>MARKET CAP</t>
  </si>
  <si>
    <t>RETAINED EARNINGS</t>
  </si>
  <si>
    <t>BUFFETT'S $1 TEST</t>
  </si>
  <si>
    <t>NET MARGINS</t>
  </si>
  <si>
    <t>GROSS MARGINS</t>
  </si>
  <si>
    <t>EBITDA MARGINS</t>
  </si>
  <si>
    <t>OPERATING MARGINS</t>
  </si>
  <si>
    <t>PBT MARGINS</t>
  </si>
  <si>
    <t xml:space="preserve">EFFECTIVE TAX RATE </t>
  </si>
  <si>
    <t>NET PROFIT</t>
  </si>
  <si>
    <t>click here for the explanation</t>
  </si>
  <si>
    <t xml:space="preserve">click here for the explanation </t>
  </si>
  <si>
    <t>If you invest 1 lakh today, in 10 yrs it will grow into</t>
  </si>
  <si>
    <t>Most investors in the stock market wonder in which stock they should invest because remember we have almost 6000 stocks to select from.</t>
  </si>
  <si>
    <t>So you can use my Winner's list of stocks to generate your Investment Ideas.</t>
  </si>
  <si>
    <t>Let's make this process simple for you:</t>
  </si>
  <si>
    <t>Step-1:</t>
  </si>
  <si>
    <t>Step-2: Kick out stocks that are out of your circle of competence. Don't worry if you have to kick out a lot of stocks in the process.</t>
  </si>
  <si>
    <t>Tip-1: You can Register your Email id with screener.in and can get updates by Email</t>
  </si>
  <si>
    <t>Tip-2: In the search query, you can customize it as per your requirements, for example I used Market Capitalization &gt; 500 (in crores), you can feed in, higher or lower figure.</t>
  </si>
  <si>
    <t>Step-3: With the remaining stocks, do the complete Stock Analysis by using this excel sheet.</t>
  </si>
  <si>
    <t>2 minute test</t>
  </si>
  <si>
    <t>Reserves BS</t>
  </si>
  <si>
    <t>Reserves CFA</t>
  </si>
  <si>
    <t>Financial Leverage</t>
  </si>
  <si>
    <t>Debt to Equity ratio</t>
  </si>
  <si>
    <t>Borrowings BS</t>
  </si>
  <si>
    <t>Borrowings CFA</t>
  </si>
  <si>
    <t>SHAREHOLDERS EQUITY AND LIABILITIES</t>
  </si>
  <si>
    <t>ASSETS</t>
  </si>
  <si>
    <t>Net Block BS</t>
  </si>
  <si>
    <t>Net Block CFA</t>
  </si>
  <si>
    <t>TOTAL DEBT / FREE CASH FLOW =</t>
  </si>
  <si>
    <t>STEP-1</t>
  </si>
  <si>
    <t>STEP-2</t>
  </si>
  <si>
    <t>STEP-3</t>
  </si>
  <si>
    <t>STEP-4</t>
  </si>
  <si>
    <t>BALANCE SHEET ANALYSIS WITH FLOW-CHART</t>
  </si>
  <si>
    <t>Int. Coverage ratio</t>
  </si>
  <si>
    <t>T.Debt/T.Equity</t>
  </si>
  <si>
    <t>T.Assets/T.Liabilities</t>
  </si>
  <si>
    <t>T.Debt/T.Assets</t>
  </si>
  <si>
    <t>Int. coverage ratio</t>
  </si>
  <si>
    <t>T.Debt/Cash Flow</t>
  </si>
  <si>
    <t>T.Debt/F.Cash Flow</t>
  </si>
  <si>
    <t>OTH Liabilities BS</t>
  </si>
  <si>
    <t>OTH Liabilities CFA</t>
  </si>
  <si>
    <t>CWIP BS</t>
  </si>
  <si>
    <t>CWIP CFA</t>
  </si>
  <si>
    <t>F.Asset Turnover</t>
  </si>
  <si>
    <t>OTH Assets BS</t>
  </si>
  <si>
    <t>OTH Assets CFA</t>
  </si>
  <si>
    <t>Invt BS</t>
  </si>
  <si>
    <t>Invt CFA</t>
  </si>
  <si>
    <t>Cash&amp;Bank CFA</t>
  </si>
  <si>
    <t>A/R BS</t>
  </si>
  <si>
    <t>A/R CFA</t>
  </si>
  <si>
    <t>A/R DAYS</t>
  </si>
  <si>
    <t>INV BS</t>
  </si>
  <si>
    <t>INV CFA</t>
  </si>
  <si>
    <t>INV Turnover</t>
  </si>
  <si>
    <t>Days in INV</t>
  </si>
  <si>
    <t>STEP-5</t>
  </si>
  <si>
    <t>STEP-6</t>
  </si>
  <si>
    <t>STEP-7</t>
  </si>
  <si>
    <t>STEP-8</t>
  </si>
  <si>
    <t>STEP-9</t>
  </si>
  <si>
    <t>ESC. CFA</t>
  </si>
  <si>
    <t>NO DILUTION</t>
  </si>
  <si>
    <t>IT’S A LOW CAPITAL INTENSIVE BUSINESS</t>
  </si>
  <si>
    <t>Want to use my fundamental growth</t>
  </si>
  <si>
    <t>If you don't like using past growth rates, then you can use fundamental growth rates which are more dynamic and forwarding looking. Growth in net profit is the function of reinvestment ( i.e., how much money you retain in the business ) and return of equity (i.e., the return you generate on incremental retained earnings).</t>
  </si>
  <si>
    <t>GROWTH RATE= (1- Payout Ratio) x Return on equity</t>
  </si>
  <si>
    <t>ROE</t>
  </si>
  <si>
    <t>GROWTH</t>
  </si>
  <si>
    <t>CURRENT</t>
  </si>
  <si>
    <t>TERMINAL (STABLE)</t>
  </si>
  <si>
    <t xml:space="preserve"> ROE  X  (1- PAYOUT RATIO)   =   GROWTH </t>
  </si>
  <si>
    <t>CAP EX</t>
  </si>
  <si>
    <t>Receivables (CAGR)</t>
  </si>
  <si>
    <t>Inventory (CAGR)</t>
  </si>
  <si>
    <t>STRONG FINANCIAL HEALTH</t>
  </si>
  <si>
    <t xml:space="preserve">AVERAGE FINANCIAL HEALTH </t>
  </si>
  <si>
    <t>WEAK FINANCIAL HEALTH</t>
  </si>
  <si>
    <t>ICR</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</si>
  <si>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</si>
  <si>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</si>
  <si>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</si>
  <si>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</si>
  <si>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</si>
  <si>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</si>
  <si>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</si>
  <si>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</si>
  <si>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</si>
  <si>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</si>
  <si>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</si>
  <si>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</si>
  <si>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a0150b87-571a-4699-a014-50e89f101043</t>
  </si>
  <si>
    <t>CB_Block_0</t>
  </si>
  <si>
    <t>㜸〱敤㕣㕢㙣ㅣ㔷ㄹ摥㌳㝢昱捥摡㡥摤㌸扤㈴㤴搶㔰㑡愱づ㙥㥣㌶㤴〲㈱昸搲㕣㡡ㄳ扢戱㤳㠲〰㙤挶扢㘷攲㘹㜶㘶摣㤹㔹㈷㉥㐵慤㑡戹㠹㥢挴㑤ㄴ捡㐵ㄵ㐲攲㠵摢〳昷ㄷ㈴㈴㄰㉡ㄲて昰㠰挴㐳㐱〸㈴㐰㈸ㄲ㉦㍣㈰挱昷㥤㤹搹㥤搹昵㡥摤㙤ぢ㉥昲㐹昷昷㤹㜳㥢㜳捥㝦㍤晦㝦愶㌹㤱换攵晥㡤挴扦㑣〵㘶㙥㕣摡昰〳㘹㑦捥扡㡤㠶慣〵㤶敢昸㤳搳㥥㘷㙣捣㕢㝥㤰㐷㠳㔲搵㐲扤㕦慣晡搶挳戲㕣㕤㤷㥥㡦㐶挵㕣慥㕣搶㌵搴㜳㄰晥㐶攳〷㥤扤㠶ち〰换戳㌳ぢ㉢て㘲搴愵挰昵攴挱昱昳㘱摦愳㔳㔳㤳㔳㤳㜷摥㌵㜵捦攴愱㠳攳戳捤㐶搰昴攴㔱㐷㌶〳捦㘸ㅣㅣ㕦㙣慥㌴慣摡摢攴挶戲㝢㐹㍡㐷攵捡愱㍢㔷㡣扢摥㌰㜵搷㤱㈳收㍤昷扣㘱〸慦捥㥤㤹㥤㔹昴愴改扦㐰㘳ㄶ㌹攵扢收㘴捤攲摡愴昴㉣攷攲攴散っ晥㑢捣ㅦ㑦㜷㑦㉥慤㑡ㄹ昰搵搲㤳㑥㑤晡㍡㍡づ摡搳扥摦戴搷戸㜹扡㝤ㅣ㑢慤ㄹ㝥㔰戴㘷㘵愳愱摢昱愸㘵㝢〱㝢搷㌰㌶㠶散㈵改昸㔶㘰慤㕢挱㐶挹㕥挶㐰昵㘱晢㥣㉦捦ㅡ捥㐵㜹挶戰㘵搱㍥搱戴敡㠵㌰攵昲户挵㐳㈴㈷愶㤶㍦㌹敤摢戳慢㠶愷㘶攴㜳㘳㌲摡ㅥ昷㙡改戶户昴ㅥ㤷㔳㔷㙦攰㤸户昶㙥㠷㥡昳㠶搷㙡㌹搱扢㘵戴昸昴っ敥攸摤㍥戱㐷改㍥慦敤摤㐷㙤㘵扡戵ㄸ㡣攸㕢敤㈸ㄶ愳㤷〸〶〸捡〴㐴愰㕥㈱ㄸ㈴ㄸ〲㄰㠵㝦㠰㑢㤲ㅤ㔹愵㔵つ慤扡愲㔵㙢㕡戵慥㔵愵㔶㌵戵敡㐵慤扡慡㔵㉤慤晡愰㔶扤㠴㌶㜱㉡てっ㘸㔱㝡晣挰㍦晥㜲㘶晥晣散〷摥晢㥤昱㉦㥤捦㝦㜸㘸てㅡ摤ㅦ㑤㙡捥㌳㉥㠳搴摡㔴㝣㜸昲㄰晦㙤捤ㄵ㘰ち昳㠸㜹户㌹㌵㔵㍦㜲挸戸搳㈸㜲㔹ㄹ挸㑦ㄱ捡㈸摡づ㤹て㔸㑥摤扤慣㜰㜷攳㡣攱换昶挶㑤㐴㜵㌳㙥搳愹晢㉦摢扣㜲㈹㌰〲㜹愰戳慥㍤㐸㔷户㈵戰㤵昴搵晢㙥敡散㜶摥㘸㌴攵昴ㄵ㉢慣㝥㜹㐷戵扤攸戹㉢扤㙢㡦㝢昲愱㔶㙤搷㡣愶㈱搴搶搵搸㕤慢っ慢挲㜹㡤捦慥扡扥㜴搴昴㈶散㐵慢㜶㐹㝡㑢㤲㈲㔱搶搵㔲慦㘵㔵挴昵ㄳぢづㄶち㙥慤扦㌲㔹㙡摥㝢㈵〰㌳换㍡收扢㈶扤㘰㘳搹㔸㘹挸敢㔲㑤挲㜷愲㘲㝦慡昸戸㕢㙢晡戳慥ㄳ㜸㙥㈳㕤㌳㕤㕦㌷㈰㘹敡愷摤扡㉣ㄴ㜲㑡㈸㐰攰收昳㐲攴㙥敦捤ぢちㄱ〹ㄴ㤳㤱㙦㐸㤳摤攴㔹慣づ慢㘸㐸搲愴昶慡㉤〶攳㝣㤵㡣挹攰挰挴㥡愸㍦昸搲搷㙣㌱㙣ぢ㜳㉦㙥㘳㑤ㅢ㡢㔶㝦敦扡㜴㠲㤳㠶㔳㙦㐸㉦㔳晢〹捥㐸ㅦ〱㈸㕥㠵㐰攸戹㝢㔴㜵攲㡡搸㈸㕥戶敡挱㙡㘹㔵㕡ㄷ㔷〳㤴㐱㐳㤶换摣摡慥愴㕦㠳㈲㝤㉦挱ㄸ㐰愵㤲㉢敤㘳愳㔲〵㈹㔷愴㜴捡攰攵㤴㈰㘷扦ㄴ㉦て㤹挷慤㐶㈰㐳愱㍣㘲〲㈳愱㔶㔳攸ㅢ㈶㠹㝡㐶㉤㔴ㄸ晢捣㔹㔰愹㘱㌹挱㐶㥢㙦扢戸㈴㈴愲㕤㔹戰攳㘴〱㐵㐱㕡ㅥ㘴昰ㅡ㠸愶㐳ㅡ㘴㌷㑥㄰ㄱ搹㈰㐳戳㘳攴㌴㤱戱㝤㠶㡣㐰晢㈴ㄱ戲昵愱摥㌲㠲挴摥㑤愴散搴㤳ㅦ㜷愵搹㘶戶㝣㈸捤慥挵挶改搷ㄱ㕣㑦㜰〳挱㝥〰昱㈷㐸㌸㑡㌹攴搳㐹㝦ㄹ㥥昵ㅢ〹㕥づ〰昹愴㔳收㐴愲㡡㌶搴㜶散㐸戶ㅢ㠶㥤慣㡣攲㔰ㄴ搱㌲㙥搹㤹挳戶㐲㜴㘴㜵敥っ㕤㕢㔰㍡昶搵扤㘹㌳戹ㅣ㔲㘴㐶搳攴㕡户㘸㥡摣〸㌶敤㔳㙦摤㡣慥晡㌸挱㉢〰㉡晡㉢〹愱㕣㘸昰㙥捦愲愷㐹昹㤲㌰㡢㐲㘳愸㑦〵ㅦㄱ㌲㡦〰ㄹ㐲慥敢昸戲㙢㐳搳ㅣ㥣㌰㕦昲㌶昴挱摥晣ㅤ㈱扤㐳㙦敥敡ㅤ晡㡢㥥愳ㄵ㝤ぢ搸㑢晣慥愷㡥戹ㄵ搵晡慢〹㙥〳攸搰㌱㍣㝤㍦㔷㑦㠱㌲㡢敤〴收昶搲敢愲慣摣攵㡤㌵愹㌴搰㤰戹㙣㜸ㄷ㘵〰て挶愹㌹搸挲慥攷挹〶づ戵㜵㔵挰昳换昵改㐲晦戸攷摡㉣摦戵㤱晤㤷㠴㘲㈸ㄴ戴㝣慥挳㐶捥戰㌵ㄳ㍥愷〴攵㔰〷摦搹㕢㐸㈴㍡愵挹㡢晤戲捦㤷扢㤲愴て㐹昲㕡㙣慢㝥㍢〰愴㠴昸㑤㑦㠹㜲㤰捤㕥愷㥡愵㉤㔶㝡昸㌲㑥㈷ㅤ㍥挴㉥㌹㌲ㄸ㍡㙣㘷攰㍦昰㠷敤㈵换㙥〹㡢㐱㝢㔱㝡㌵昸ㄶ慣㠶慣㠴㙥㔹㡡㥡㕤㔹昱ㄲ㤱ㄵ昹㝣搷㜹㍡挳扦愶攸愴㐳㑡㘴㜲㝢㘶㘵挶㔹扣㑤㔴㜴㐳㔲愸㘴戸㠶㕡ㄲ㠸㤴挷戶扢㈲愶てㄱ㜳〷㌶㑥㍦㐴㌰㐵㜰ㄸ愰昸㑢㐸㥡敤㙥㍣挳㘱〳敢㜴㘹㔷慢戹㌲搱愰㕣㠴捦昴ㄴ㔶㐷昸㥡搷ㄳ摣つ搰㘱晥搰〱㤹㐱㠸ち攵〹㐲㔴㘱っ昳扣㈵㉦㤳〶昶㤸〸㉣捤㌶晤挰戵ㄹ㔹ㅡ㌶攷摣㌳㙥㌰㘷昹㙢㠸㐴㡤㤹㔱收㠱㔵改㠰扡㍣搸㍥ㅤ㘵敥摡㥡慣敢收㤲摢㠴㘸㍢㌵户ㄳづ收搸づ搸㤲敡㙣慥〹愴晥捥挷ㄸ㐲㘰愷㤵扦㤵摥搸㙤㜹扦㜹攸ㅢ㘹敦攸戲ㄵ㌴攴愰ㄹ㌲ㅤ昳㘵ㄳ扢㠸挸㐱㝤挰㕣㕥昵愴㥣ㅢ㌶㑦㜸㔶扤㘱㌹㤲挸㠰㡤挹㘰摤扣扣㠸㈸挱愲换ㄸ愰敢っ㥢换㥥攱昸㙢〶〳㡡ㅢ㝢㔳㑦㉡㉣㔲㌴㘷㉣挷挷㙢ㄴㄶ㤹ㅦ㌱㤷㔶摤换㠸搸㌶㙤攷㠴戱收敦〸慣㤰攸挳愴㔰㈳㌴愱㘹愲慣㤵晢挵てて攴戹ㅣ㜹慦㐰愰㜰㤵㉢搲㘷㥥愱扤㘹搷㐷㌱ㅡ摡改㥣搳㄰愲㐷慤挲㝣愶ㄴ㈶愷敡昷戰捦ㅢ〱敥㍢㜱敥㔴㍢㌲昷扣㘲搶㐵㝡昹㌳㘴扣㈲㡢㔶㈰㠴㍥扡㍤㈱愹戰㡣㤴〳づ〴挶昹搴㐹㝥ㄵ㔳戵㈱昵敤㘹㘷㡦㈳㤲㌴㘴捥ㅢ㉢戲㠱㜸戴㙤〴㝢挲〷㥡戱戶搱昰愳扡㔹搷戶つ㤲ㄶ挹㜲愹㘶㤰㠲愷㥢㠱㝢摡㜲㜴ㄳ㐰搱㕦㔴㘴㕣㐱㤱㜱㐵ㄵつ㤹㘷ㄹㅡ㔴㜹㡥攵㕥㌴㍣㉢㔸戵慤㕡㤹てっ摦敤〸㥡〴㤳㔳昲挶㈹㤶ㄹ攳ㅤ搶晣㌹㤸㙣晥㈴搰㍤〹㌹捡慤㈳晡㐱戹㥡㈸攱㥦攸搳戱〴〱愳㍣愵晡㥢㌱㕡㔱摤㡥㠰挸㔱改㙡㝣〷攳敡愳㈸〹㠵㄰戱㥥㐱㈲昰ち㈶㠴㍣㕤摣㈵昳㥣㘳〵挰ㅥ㌱㜶摣ち收㝣愰ㅣ〰㔹㜵扣㍤愰戰㥡攸㌴搱搲ち㌷㜷㔷愵搴挴㑤摤昵㐹扤昱慡㑤慡㐳㡤㤲㔰㈴㕢㌵㔲㥡㘵㤳㌹敥㈴㔵㈳㤴攲㡥戵㡤挸㜲㥢戶昷㥤㔲攴㜹㈸㈶㐵㌳㌹晤㉤㡡㔰㄰攸㡤㜴ㄴ㝤昶搹攴㤱㠸搸搰〶愸㔰㑦㠵㘵挳㔱㐸昰ㄴ慥㥤搴㘵㈵㝡〲㝦敦㠹戲ぢ捤㈰㔵㘳㕣ㄹ㡢㙡愶ㅢ㡤〵〷㔶㐲捤昰敡㍢㠴愵戱戶㔰挳㈸敥散㔷晢㠷摢㥢㘰挴㠸つㄹㄶ挹昰〳㠳つ挱㕣㠹㠸㉡慤戳㘱㙥㜵慢戸捣愷搳搲㜰ㄴ〶㤶㠲晡㥣㕣㔷㘶㔸摢㤲ㅦ㔳ㅤ㕡愷㐵㈵㐷㜵㜳㝡挵㠷㑡て㈸挷愳㥣㘲㜰摤㍣㑢户ㄴ㉥㌱㐰散㐶戹挵㕡㠰搰㙥㙢〰㥥っ㜶づ㜶戰㈳㘱攸㠴搶ㄹ㈵㘸㈹㠳㜰搳㡢㈰敦昴㠹㔱〸㔲㔳愵扦ㅦㄳ㥦㝦㤲改敢挷㜲㜱㈶㘲㈲㠶扢㌲慣〷㈰㌷ㄹ㤹㈴ㄷ㡤挵〱昳㔰戲㈹愱㌵ㄴ㤷搱挴ㄸ愶挹攷〵戸挵挳㔸搶〸搹愶㠱㝢㙥㠱〵㙤摡搸搸㘳㥥㜲㙡㡤㘶㕤㉡㔵ㅣ换㙡愵㤱㜷〴扥搴ㄵ挰㤰㥢㌲昶㈵摡㤴㔳㌸㑡㜱挹㐴㔲晦㜶户㝥っ摤㤵㤰挳ㄸ愱敡㘳〰㌲挳㉤愷〲㘲㕤昷ㄴ㘸ㅦ敥㙤㕦㘰㔰㤷攷㈰搲扡㡡㈸换收㜱ㅦ慦ㄵ㐵㔶摣㤶㘸㌶敦捥扢戴搹ㄳ㐵㈷慤戰㘸㐷攰〸敢っ〵㕥愹〴㘳愴㑦敥攰㈰戹慢㔱㜴昷敡愳敡㌱㜷ㄵ愸㔰ㄸ㄰㡣昱昲ㄴ㤴挳慥㠲㤱㘸㜰㙢㙤慢㕢㌰晡㑢换㕢㥦〶㄰っ〳搳愰㐵换搰挰㤹㐵㝥㙢〳攷㘶戴捡㠸㤰㈶㠳愹㡣㔱㡥挱㘱て愴㠱㥢㜸㤰㕥㜶愱㠴㠲㝤敡㘲㔸㝣㌷㜱挲挶ㄱ挸昵慥敢㈸㕣㌴〲㕣㝦㜱昶㜷ㄴ㑦搷敢㌴㜷攱㥦摢ㄱ㔸挵搵㡤搰ㅣ摤搷㜱㈹㑢慤㠹昶摤㉤ㅤㄵ搱㘵挱挳㜳㤳㈷㡤愰戶扡ㄴ㙣㠴ㄷ户晡㈵㠹攲㡦攱㡦搸昴敤戴㤹ぢづ㉦愲慥㜳敦㉢㤷ㅣ昷戲愳收㔵昴㜹敢てㄴ㠲㉢㤴〳㥣㘴㈵昷㙦晣㔳㐹换ㄵ㝦㠴ㄱ户㌳㙤づ搰㜶㤰㜰ㅣ㤵㐲㘹㌰㡥㝣〶㥤挰㜶㙦摤ㅡ㈰㥤散敢愰ㄳ㈵〸㜶〹挵戹昸㠲ㄱ㡡昸㈱搰㑡㘲〹㡦攴搸昳慦㠱昵挵て㔰㐲㠴攳㌹ㄲ㈳挵㔷㈰㤷㠱㍡㈵挸愳㉢ㅥ扣㄰昲晦㠳愵㤸㥢㌷㘵愷晦〲㌳㡢敦㜷愲攸㈶愲攸㝢㕤㈸ㄲ扣〶愲昸昷㍥㘴攲㔴㘴㜸昶㌹〵挲戹愶摤〳攸㡢㝥攱昷㝦㜸〰㥤㡦㠸㐳搹㘸〸戵摤㡡攷㤶㠹㤰敦㌲ㄱㄸ扣㔷㈶挲㘹㘴〴愳昸愱㠹㄰昹㐰ㄶ㔰戰戵㠹挰搸㕥㠶㈱㤸〸戵㈶摣ㅡ㍣㠱㕤㘷搳㍦㜶ㄲㄷ㙦愵㡦㜸㍥㤴㤶㍦ぢ㡦搴昵摤挵㡢㠶㘷搸晢㔵昹〹㑦㐲㤹㜹换戸挹慤扡戰挷㠱㑤㙢㔴愷㑤㝣ㄵ戱㤷㝤搷㥦戲扤晢敢挰㔴㤸㐲昷扤㈸㡢搲昳昰㤴〸㥥ㅢ㜲敦搹昷㡤ㄳ扦㝦昸㠹㘳扣慤ㄶ搱㙡昱㜶攴晢〹搹搳㥥㐰㔰㌷㜱㔱攴㕡㝥㤸㜳ㅡ㥦㈸㔹㙢つ㌹㘳㜸捡ち昲㜵㍢捥㠶㠴㤷㈰捣㤰昸㜶㠲㠹㠹㝢て愱㠹㌹搹攱敥㔴ㅦ㌶㈹ㄷ攱㘴㘲攲捡愷ㄷ㠷つ㐵㑦㐵搶愷戵㔹晣ㄶ㔴搱㜳㥣㐸摡㑡攴愹㤳㐹㠸㙦㜶敡扡㈳搴㜵攱㐱㠶㘱晦㔸㑡㈱晥㐰ち㐹ㅥ㘴㜸㈱㐰㐹愹戳挸ㄴ敦〰挸㠸慣㜵㠶㜸改て搸ㄵ〲戲㜵改慦捦㡦㔸戰㡢挰㘲散㡢敦昷㐴㑢㕢㌴㔶㑤っ搵㉡㥢㘶〹ㄹ㜵㜸㘱挱㔴㕣㥡戲㜴づ愳㜴摢敥㈸扥㘴搸づ〳㙦㈱㘳ㄷ㙤晡摡㉡昶扤㑥ㄳ㌷㍦愰㘷㑡㑡㘱㌸㝢㔹㡣〳愹㡡搱㠵㑤㉢㘱ㄱ攱㐸㤸㙤㜵ㅡ㡣慡愰戳㥣晤㌸㤵㈲昸挷㉦㠵㔸㍦搱ㅥ晡摡捥ㅡ敡㌸㘷〰ぢ攴て昶搷㑤ㄹ㡣㡤户㤲㘳㈰㘱户搵慡ㅣ㕥て㍦㠷㉥㕣㜴㑥攸敤慣㝡ㄶ㐷昰㈷收慣扣搶愵晦ㄹ扤㔶㥣㜵㥥扤ㄹ挶㑥改晦户愳㘰㑢晤㉦ㄸ㝢㔳㠸㝣㐷㤴攱㐳㤱昱㤳㉤㐳㌶摣ㄱ㜸戶ㄱ扣㔱〷㘳㕤㘵ㄹ昲づ㜳㑢昸㜸㌵慣㔶ㄲㅣ㝥慦㐲攷搵㠸㔶㕦摡戶㠳㍤〵㈰㘳㐳挵慦㐱〴昵散㥦㤶㕢昱改戶昴㑥㜴摣㜷摡慡㜹慥敦㥡挱昸ㄲ㠲扥攳晣昶捣㠴捤㌳㉤扥摡㈹搴㙥挱㑥っ扤ㅢ㝤捥㉣㐰㘰㥦㤱挱ぢㄵ㡢㘴㘴㘱㝢㤱っ㝥㠷㌴㥡〸㉦㔱㍢昸搷㤸昷㌷㡤〶㍥㕤㕤㠰慦㌳㘰搱㡥㔰㜶愱挷戹昳㠶〶户づ㜷戴摥〶㝦㤰㙣㑣㈲㌸愶㤶昰捥㜷㜳㕦㍢昷㈰摤㌶㕡㥢捦㤶晤昹摣㉡挵愷㠱搳敤扤㈵㑤㌲㝣㈷扦㐸慥攸㔵㐲㕣摡㍦㠶扦摢㜷搰㜲戴㌱搰㜹昴㐱㌷ㅤ㘱ㄳつ戸捦戶ㄱ晤扥㠰慥㘲㥡〰㍦摤㠸㌲㝣㄰昴昲㤱ㄵ挵㤷戰㉣㌲〰昲戹㔲つ愰㌷㔵㍦戵ㄹ㔵㡦挶〲㔹昰㡣㐱㜲慣㠸㉦愰㈱户㉢㕣㌶㔸㠲换ㄶ敡㉣㠱扣ㅥ昷㐰㍥㈷㜸㤶㔰ㄳ昹ㅣ㍡戴㈶㘲愱戴昷㐴㍥扢搹㐴〴慤〰戵搰攴昸愳戱ㄶ搱ㅢ愸搶㙤〲㠷挰〵ㄸ愱㔸愴慣㈹㠵愱㠵ㅦ㄰㌳㐸扦㡡晥㍥㝢散㤷捦㌰晤敤㤸㔰㠲㄰㔵改挹㔳㄰慡挹㝦㈲㌹㜹て愵扤㈷晦戱捤㈶㍦㑡ㄹ挹㤹攸〱挰㜰㕥㔴昱㐷㉤愶㠹っ昷㤱㍦㜱㠱〰扦搴㉣㐶つ㤴愸扥㤷㤱㐱㕦㙥戸㙡㜵〵㤹戸㙦㤱敢捦昸戸㐷搹㐷扣〸㐹㕦㑥㈹㜴挶㤶㐲慤㔸戶㈳㉦散㡥㤰つ㔸ㄲ扦㤶敤㈹搲㑢㝤㐶昸挵〷㘳挴㥣㍣ㄹ㝦㌹愵㐵㌱㈷㄰㐶㘸㤱㤲㝥戸㤱攲〳㜱攳㙦㝦户敤㌲㐵〵ㄲ愸㈷㙣㑣㍡㔳㡤摦ㅦ㌷㍥㡣慦戲㔴㥢ㅣ㙦㄰㌰㍤ㅢ㌷㈶㍤慡挶㑦挴㡤晦㝡㜸㝦慢㜱㑣㠷攱挸㐵ㄲ㐹㠶慤慢慣晦挴ㄷ摡㈳㘸㕥㌴愹㍦〷捤戰㤸㤲㔳㠵㡥ㅢ㑡㠳づ攱㌲㠸㠷㙦愴攷㜱户〹㔷㐰㈰㘴挳晦㔵挲㈹摣㜹㥡㌳〲〳㥦㐰慦㈳搸散改敡㠹㥤㑢收㠲㠷㠲〱昳㤴㡦㌳㔵㝤㐷㤱〸捣㠱㐲戸扦㕢㌸攵㌳㑣挷昶㝥挴㐱㌲㡤㜷㐸晡㔳ㅥ㉡戰㔲㄰㡦挷㤸捤㍤搶愶ㄹ晤㔱㈰〷搲ㄱ㤰ㄹ晤㌱挰㌰㄰挳摢捡戹㔱昲扦㘲敥挷㔹昱㍥㠲㈷〰㉡㠲捣㑥㍡㈸扤ㅦ㘰㈴晥ㅦ㔵㡣慦㉢㝦㠹㈶ㅥ㡥㕦㤶㈴㈳晤㠳散昰㈱㠰㍣摣户㈲㈲挲㡡晥㘱㤴㈴㕦㑡挱愱㕥晡ㄱ㔶㝣㤴攰㘳〰㤵㈲㈷扢敤㕤攳㥡晡搴㕣ㅦ㐷㔷昱ㄸ〱㝥晡㈷愲っㅦ㡡摣㠷㌷昵戶㤵㜹ㄴ㡥㍦散㐷愸㌳昵〵晦扤昸㈲㝦㠳㡢捥攳㝦㐸㔲㔴㠶㝤㐱㝢㘳㝦㘳㤱〹㘸㤳慢摦ㅡ㌶晢㜹㡣挳㜵戵㈳㈸ㅣ㤱㑡愵慣㤵〴昱捤〵ぢㄷ㙦攰㕢㡥慡ち㈱㐸〳慡挲㠹㉡㡥愱㐰晦ㄴ㥢ㄲ挷挴㤳晥㘹㍥ㄱ戵㙡ㄳ㍦ㄳ㘵昸㈰㠸㔷搵晤挱愸㝢晣㐲攲㕡㔵㔸ㅤ㉦㈴晥㔵挵㙡昲㠵㑦㜲㌰㠵㉣㘴搲㕡㠹㐸㔳㌴昴〵㘴㠶昳㈳㥣摢〳昸㘹㔷㐴敤㐲晤挲㠵㝦㡥ㄴ挶てㄴ摥晥搶愱㈷㥦晤挵ㅦ㍥昹敢㜷ㅤ晤昳扦㥥㝡敡搷㝦晣攴㌳晦晡昱捡搱㥦㍤晤昴㑦敦晢昲㌳㝦搸㙢㝥㐵晢敥㍦攷扦昲挸搴愵㐷ㅥ㌲捦摤㝥攲㤱㜷㍣㜸晦搴攲㌵ㄳ昹晣挰挰㙤㘳㍦扦攱㌵愳㡦㍤昴㝤昱㤳摦㕥敦〸戵㕣扣㈰㍤つ㉥㕢㑤攳㡢挸㘰ㅡ㥣昱㡢㍡つ㉥㔷㙤搴㑡戴㔱㌳㈸㈸挳愷挱〹愸ち㈳㕤㌱昸ㅦ〱㑣戲㐸</t>
  </si>
  <si>
    <t>Decisioneering:7.0.0.0</t>
  </si>
  <si>
    <t>f332f657-e954-49ee-9b78-44f892e8e3a6</t>
  </si>
  <si>
    <t>CB_Block_7.0.0.0:1</t>
  </si>
  <si>
    <t>㜸〱敤㕣㕢㙣ㅣ㔷ㄹ摥㌳摥㕤敦慣敤搸㡤搳㑢㑡㘹つ愵ㄷ敡攰挶㘹㐳㈹㄰㠲㉦㑤攲攲挴㙥散愴㐵㠰㌶攳摤㌳昱㌴㍢㌳敥捣慣ㄳ㤷愲㔶搰㜲ㄱ㌷㠹㥢㈸㤴㡢㉡㔴〹〹㐱㜹㈹搷ㄷ㈴㈴㄰㉡ㄲて㠰㠴挴㐳㐱〸ㅥ㐰㈸ㄲ㉦㍣㈰挱昷㥤㤹搹㥤搹昵㡥摤㙤ぢ㉥昲㐹昷昷㤹㜳㥢㜳捥㝦㍤晦㝦愶㌹㤱换攵晥㡤挴扦㑣㜹㘶慥㕢摡昰〳㘹㑦捣戸昵扡慣〶㤶敢昸ㄳ㔳㥥㘷㙣捣㕢㝥搰㠷〶挵㡡㠵㝡扦㔰昱慤㠷㘵愹戲㉥㍤ㅦ㡤ち戹㕣愹愴㙢愸攷㈰晣㡤挴て㍡㝢つ收〱㤶㘷愶ㄷ㔶ㅥ挴愸㑢㠱敢挹〳㘳㘷挳扥㐷㈶㈷㈷㈶㈷敥戸㜳昲敥㠹㠳〷挶㘶ㅡ昵愰攱挹㈳㡥㙣〴㥥㔱㍦㌰戶搸㔸愹㕢搵㜷挹㡤㘵昷㠲㜴㡥挸㤵㠳㜷慣ㄸ㜷扥㘵昲捥挳㠷捤扢敦㝥换㈰㕥㥤㍢㌵㌳扤攸㐹搳㝦㤹挶㉣㜰捡㜷捥捡慡挵戵㐹改㔹捥昹㠹㤹㘹晣㤷㤸㍦㥥敥㥡㔸㕡㤵㌲攰慢愵㈷㥤慡昴㜵㜴ㅣ戰愷㝣扦㘱慦㜱昳㜴晢ㄸ㤶㕡㌵晣愰㘰捦挸㝡㕤户攳㔱㑢昶〲昶慥㙥㙣っ摡㑢搲昱慤挰㕡户㠲㡤愲扤㡣㠱㙡㐳昶ㄹ㕦㥥㌶㥣昳昲㤴㘱换㠲㝤扣㘱搵昲㘱捡昵摤ㄲて㤱㥣㤸㕡晥挴㤴㙦捦慣ㅡ㥥㥡㤱捦㡤挹㘸㝢捣慢愶摢摥搸㝤㕣㑥㕤扤㠱㘳摥搴扤ㅤ㙡捥ㅡ㕥戳攵㜸昷㤶搱攲搳㌳戸扤㝢晢挴ㅥ愵晢扣戱㝢ㅦ戵㤵改搶㘲㈰愲㙦戵愳㔸㡣㕥㈴攸㈷㈸ㄱ㄰㠱㝡㤹㘰㠰㘰㄰㐰攴晦〱㉥㐹㜶㘴㤵㔶㌱戴捡㡡㔶愹㙡㤵㥡㔶㤱㕡挵搴㉡攷戵捡慡㔶戱戴捡㠳㕡攵〲摡挴愹搴摦慦㐵改㔶敦㑦摦㥡㍢㕤㥣㝤昶户昷㍦戰㘷攳〳㝦ㅥ摣㠳㐶昷㐵㤳㥡昵㡣㡢㈰戵ㄶㄵㅦ㥡㌸挸㝦㕢㜳〵㤸挲㍣㙣摥㘵㑥㑥搶づㅦ㌴敥㌰ち㕣㔶〶昲㔳㠴㌲㠲戶㠳收晤㤶㔳㜳㉦㉡摣㕤㌷㙤昸戲戵㜱攳㔱摤戴摢㜰㙡晥㙢㌶慦㕣ち㡣㐰㕥摢㕥搷ㅡ愴愳摢ㄲ搸㑡晡敡㝤搷户㜷㍢㙢搴ㅢ㜲敡㤲ㄵ㔶扦戶慤摡㕥昴摣㤵敥戵挷㍣昹㔰戳戶㘳㐶㔳㄰㙡敢㙡散㡥㔵㠶㔵攱扣挶㘶㔶㕤㕦㍡㙡㝡攳昶愲㔵扤㈰扤㈵㐹㤱㈸㙢㙡愹㔷戲㉡攲晡昱〵〷ぢ〵户搶㕥㥦㉣㌵敦戹ㄴ㠰㤹㘵つ昳㕤㤳㕥戰戱㙣慣搴攵㔵愹㈶攱㍢㔱戱㍦㔵㝣捣慤㌶晣ㄹ搷〹㍣户㥥慥㤹慡慤ㅢ㤰㌴戵㤳㙥㑤收昳㌹㈵ㄴ㈰㜰晢晡㠴挸摤搶㥤ㄷㄴ㈲ㄲ㈸㈶㈳㕦㤳㈶扢㠹搳㔸ㅤ㔶㔱㤷愴㐹敤つ㕢っ挶昹㉡ㄹ㤳挱㠱㠹㌵㔱㝦昰愵户㙥㌱㙣ㄳ㜳慦㙣㘳㑤ㅢ㡤㔶㝦捦扡㜴㠲ㄳ㠶㔳慢㑢㉦㔳晢〹捥㐸ㅦ〶㈸㕣㠶㐰攸扡㝢㔴㜵攲㤲搸㈸㕣戴㙡挱㙡㜱㔵㕡攷㔷〳㤴㐱㐳㤶㑡摣摡㡥愴㕦㠱㈲㝤㉦挱㈸㐰戹㥣㉢敥㘳愳㘲ㄹ㈹㔷愰㜴捡攰攵㤴㈰㘷扦ㄴ㉦て㥡挷慣㝡㈰㐳愱㍣㙣〲㈳愱㔶㔳攸ㅢ㈲㠹㝡㐶㌵㔴ㄸ晢捣ㄹ㔰愹㘱㌹挱㐶㡢㙦㍢戸㈴㈴愲㕤㔹戰攳㘴〱㐵㐱㕡ㅥ㘴昰ㅡ㠸愶㑤ㅡ㘴㌷㑥㄰ㄱ搹㈰㐳戳㘳攴㌴㤱戱㝤㠶㡣㐰晢㈴ㄱ戲昵挱敥㌲㠲挴摥㐹愴散搴㤵ㅦ㜷愵搹㘶戶㝣㈸捤慥挴挶改㔷ㄱ㕣㑤㜰つ挱㝥〰昱㘷㐸㌸㑡㌹攴搳㐹㝦つ㥥昵敢〸㕥ぢ〰昹愴㔳收㐴愲㡡㌶搴㜶散㐸戶ㅢ㠲㥤慣㡣攲㔰ㄴ搱㌲㙥摡㤹㐳戶㐲㜴㘴㜵敥っ㕤㥢㔷㍡昶收敥戴㤹㕣づ㈹㌲愳㘹㜲慤㕢㌴㑤㙥〴㥢昶愸户㙥㐰㔷㝤㡣攰㜵〰㘵晤昵㠴㔰㉥㌴㜸户㘷搱搳愴㝣㔵㤸㐵愱㌱搴愳㠲㡦〸㤹㐷㠰っ㈱搷㜱㝣搹戵愱㘹づ㡥㥢慦㝡ㅢ晡㐰㜷晥㡥㤰摥愶㌷㜷昵づ晤㐵㉦搲㡡扥ㄱ散㈵㝥摦㔵挷摣㠴㙡晤㘶㠲㕢〰摡㜴っ㑦摦㉦搶㔳愰捣㘲㍢㠱戹扤昴扡㈸㉢㜷㜹㘳㑤㉡つ㌴㘸㉥ㅢ摥㜹ㄹ挰㠳㌱㌷ぢ㕢搸昵㍣㔹挷愱戶愶ち㜸㝥戹㍡㕤攸ㅦ昳㕣㥢攵扢㌶戲晦慡㔰っ昹扣搶㤷㙢戳㤱㌳㙣捤㠴捦㈹㐱㌹搴挱㜷㜴ㄷㄲ㠹㑥㘹昲㘲扦散昳攵慥㈴改㐱㤲扣ㄱ摢慡摦〶〰㈹㈱㝥搳㔵愲ㅣ㘰戳㌷愹㘶㘹㡢㤵ㅥ扥㡣搳㐹㥢て戱㐳㡥っ㠴づ摢㘹昸て晣㈱㝢挹戲㥢挲㘲挰㕥㤴㕥ㄵ扥〵慢㉥换愱㕢㤶愲㘶㔷㔶扣㑡㘴㐵㕦㕦挷㜹㍡挳扦愶攸愴㑤㑡㘴㜲㝢㘶㘵挶㔹扣㐵㔴㜴㐳㔲愸㘴戸㠶㥡ㄲ㠸㤴挷戶扢㈲愶〷ㄱ㜳㍢㌶㑥㍦㐸㌰㐹㜰〸愰昰㑢㐸㥡敤㙥㍣挳㘱晤敢㜴㘹㔷㉡戹ㄲ搱愰㕣㠴捦㜷ㄵ㔶㠷昹㥡㌷ㄳ摣〵搰㘶晥搰〱㤹㐱㠸ち攵〹㐲㔴㘱っ昳慣㈵㉦㤲〶昶㤸〸㉣捤㌴晣挰戵ㄹ㔹ㅡ㌲㘷摤㔳㙥㌰㙢昹㙢㠸㐴㡤㥡㔱收晥㔵改㠰扡㍣搸㍥㙤㘵敥摡㥡慣改收㤲摢㠰㘸㥢㥢摤〹〷㜳㙣〷㙣㐹㜵㌶搷〴㔲㙦攷㘳っ㈱戰搳捡摦㑡㙦散戶扣摦㍣昴つ户㜶㜴搹ち敡㜲挰っ㤹㡥昹㤲㠹㕤㐴攴愰搶㙦㉥慦㝡㔲捥づ㤹挷㍤慢㔶户ㅣ㐹㘴挰挶㘴戰㙥㕥㥥㐷㤴㘰搱㘵っ搰㜵㠶捣㘵捦㜰晣㌵㠳〱挵㡤扤愹㈷ㄵㄶ㈹㤸搳㤶攳攳㌵ち㡢捣て㥢㑢慢敥㐵㐴㙣ㅢ戶㜳摣㔸昳㜷〴㔶㐸昴㘱㔲愸ㄱ㥡搰㌴㔱搲㑡扤攲㠷〷昲㕣㡥扣㤷㈷㔰戸捡ㄵ攸㌳捦搰摥戴敢愳ㄸつ敤㜴捥㘹㄰搱愳㘶㘱㕦愶ㄴ㈶愷敡㜷戳捦㕢〱敥㍤㝥㘶慥ㄵ㤹㝢㐹㌱敢〲扤晣ㄹ㌲㕥㤱㐵㌳㄰㐲ㅦ摤㥥㤰㔴㔸㐶捡〱〷〲攳㝣㙡㈷扦戲愹摡㤰晡昶戴戲挷㄰㐹ㅡ㌴攷㡤ㄵ㔹㐷㍣摡㌶㠲㍤攱〳捤㔸摢愸晢㔱摤㡣㙢摢〶㐹㡢㘴戹㔴㌵㐸挱㔳㡤挰㍤㘹㌹扡〹愰攸㉦㉡㌲㉥愱挸戸愴㡡〶捤搳っつ慡㍣挷㜲捦ㅢ㥥ㄵ慣摡㔶戵挴〷㠶敦㜶〴㑤㠲挹㈹㜹攳ㄴ换㡣戱㌶㙢晥っ㑣㌶㝦〲攸㥥㠰ㅣ攵搶ㄱ晤愰㕣㑤ㄴ昱㑦昴攸㔸㠲㠰㔱㥥㔲晤敤ㄸ慤愰㙥㐷㐰攴愸㜴㌹扥㠳㜱昹㔱㤴㠴㐲㠸㔸捦㈰ㄱ㜸〵ㄳ㐲㥥㉥敥愲㜹挶戱〲㘰㡦ㄸ㍢㘶〵戳㍥㔰づ㠰慣㍡摥㕥慢戰㥡攸㌴摥搴ち㌷㜴㔶愵搴挴昵㥤昵㐹扤昱㠶㑤慡㐳㡤㤲㔰㈴㕢㌵㔲㥡㘵㤳㌹敥㈴㔵㈳㤴攲㡥戵㡤挸㜲㥢戶昶㥤㔲攴㈵㈸㈶㐵㌳㌹晤ㅤ㡡㔰㄰攸㡤㜴ㄴ㝤昶搹攴㤱㠸搸搰〶㈸㔳㑦㠵㘵㐳㔱㐸㜰づ搷㑥㙡戲ㅣ㍤㠱扦昷㐴搹㠵㐶㤰慡㌱㉥㡤㐶㌵㔳昵晡㠲〳㉢愱㙡㜸戵ㅤ挲搲㔸㕢愸㘱ㄴ㜷昶慡晤挳敤㑤㌰㘲挴㠶っ㡢㘴昸㠱挱㠶㘰慥㐴㐴㤵搶搹㄰户扡㔹㕣攲搳㐹㘹㌸ち〳㑢㐱㙤㔶慥㉢㌳慣㘵挹㡦慡づ捤搳愲㤲愳扡㌹戵攲㐳愵〷㤴攳㔱㑥㌱戸㙥㥥愶㕢ち㤷ㄸ㈰㜶愳摣㘲㌵㐰㘸户㌹〰㑦〶㍢〷㍢搸㤱㌰㜴㐲敢㡣ㄲ戴㤸㐱戸改㐵㤰㜷㝡挴㈸〴愹愹搲摦㡦㡡㉦㍤挹昴捤愳戹㌸ㄳ㌱ㄱ挳㕤ㄹ搶〳㤰㥢㡣㑣㤲㡢㐶攳㠰㜹㈸搹㤴搰ㅡ㡣换㘸㘲っ搱攴昳〲摣攲㘱㉣㙢㤸㙣㔳挷㍤户挰㠲㌶慤㙦散㌱攷㥣㙡扤㔱㤳㑡ㄵ挷戲㕡㘹攴ㅤ㠱㉦㜵〵㌰攴愶㡣㝤㠹㌶㘵づ㐷㈹㉥㤹㐸敡摤敥搶㡦愲扢ㄲ㜲ㄸ㈳㔴㝤っ㐰㘶戸攵㔴㐰慣攳㥥〲敤挳扤慤ぢっ敡昲ㅣ㐴㕡㐷ㄱ㘵搹㍣敥攳㌵愳挸㡡摢ㄲ捤收摤㜹㤷㌶㝢愲攸㠴ㄵㄶ敤〸ㅣ㘱㥤愱挰㉢ㄶ㘱㡣昴挸ㅤㅣ㈴㜷㌹㡡敥㕥㝥㔴㍤收㉥〳ㄵち〳㠲㌱㕥㥥㠲㜲搸㔵㌰ㄲつ㙥慤㘵㜵ぢ㐶㝦㘹㜹敢㔳〰㠲㘱㘰ㅡ戴㘸ㄹㅡ㌸㌳挸㙦㙤攰摣㠰㔶ㄹㄱ搲㘴㌰㤵㌱捡㔱㌸散㠱㌴㜰ㄳて搲换㉥㤴㔰戰㑦㕤っ㡢敦㈶㡥摢㌸〲戹摥㔵㙤㠵㡢㐶㠰敢㉦捥晥戶攲愹㕡㡤收㉥晣㜳㍢〲慢戸扡ㄱ㥡愳晢摡㉥㘵愹㌵搱扥扢戱慤㈲扡㉣㜸㘸㜶攲㠴ㄱ㔴㔷㤷㠲㡤昰攲㔶慦㈴㔱昸㌱晣ㄱ㥢扥㥤㌶㜳摥攱㐵搴㜵敥㝤昹㠲攳㕥㜴搴扣ち㍥㙦晤㠱㐲㜰㠵戲㥦㤳㉣攷晥㡤㝦㉡㘹戹挲㡦㌰攲㜶愶捤〱㕡づㄲ㡥愳㔲㈸つ挶㤰捦愰ㄳ搸敥捤㕢〳愴㤳㝤㙤㜴愲〴挱㉥愱㌸攷㕦㌶㐲ㄱ㍦〴㕡㐹㉣攱㤱ㅣ㝢晥っ㔸㕦晣〰㈵㐴㌸㥥㈳㌱㔲㜸ㅤ㜲ㄹ愸㔳㠲㍣扡攲挱ぢ㈱晦㍦㔸㡡戹㜹㔳㜶晡㉦㌰戳昸㝥㍢㡡慥㈷㡡扥搷㠱㈲挱㙢㈰㡡㝦敦㐵㈶㑥〵㠶㘷㕦㔴㈰㥣㙢摡㍤㠰扥攲ㄷ㝥晦㠷〷搰昹㠸㌸㤴㡤㠶㔰摢㑤㜸㙥㥡〸㝤ㅤ㈶〲㠳昷捡㐴㌸㠹㡣㘰ㄴ㍦㌴ㄱ㈲ㅦ挸〲ち戶㌶ㄱㄸ摢换㌰〴ㄳ愱搶㠴㕢㠳㈷戰慢㙣晡挷㑥攰攲慤昴ㄱ捦㠷搲昲㘷攰㤱扡扡戳㜸搱昰っ㝢扦㉡㍦敥㐹㈸㌳㙦ㄹ㌷戹㔵ㄷ昶戸㜶搳ㅡ搵㘹ㄳ㕦㐵散㘵摦昵愷㙣敦晥㍡㌰ㄵ愶搰㝤㉦㑡愲昸ㄲ㍣㈵㠲攷㠶摣晢昷㝤晢昸ㅦㅥ㝥晣㈸㙦慢㐵戴㕡戸つ昹㕥㐲昶戴㈷㄰搴㑤㕣ㄴ戹㤲ㅦ收㥣挴㈷㑡搶㕡㕤㑥ㅢ㥥戲㠲㝣摤㡥戳㈱攱㈵〸㌳㈴扥㥤㘰㘲攲摥㐳㘸㘲㑥戴戹㍢搵㠷㑤捡㐵㌸㤱㤸戸昲改挵㘱㐳搱㔵㤱昵㘸㙤ㄶ㥥㠵㉡㝡㤱ㄳ㐹㕢㠹㍣㜵㌲〹昱㥤㜶㕤㜷㤸扡㉥㍣挸㌰散ㅦ㑢㈹挴ㅦ㐸㈱挹㠳っ㉦〴㈸㈹㜵ㅡ㤹挲敤〰ㄹ㤱戵昶㄰㉦晤〱扢㐲㐰㌶㉦晤昵昸ㄱぢ㜶ㄱ㔸㡣㝤昱扤㥥㘸㘹㡢挶慡㠹愱㕡㘵搳㉣㈱愳づ㉦㉣㤸㡣㑢㔳㤶捥㈱㤴㙥摢ㅤ挵㤷っ搹㘱攰㉤㘴散㠲㑤㕦㕢搹扥挷㘹攰收〷昴㑣㔱㈹っ㘷㉦㡢㜱㈰㔵㌱扡戰㘹㌹㉣㈲ㅣづ戳捤㑥〳㔱ㄵ㜴㤶戳ㅦ愷㔲〴晦昸愵㄰敢挷㕢㐳㕦搹㕥㐳ㅤ攷昴㘳㠱晣挱晥扡㍥㠳戱昱㔶㜲っ㈴散戶㕡㤵挲敢攱㘷搰㠵㡢捥〹扤㤵㔵捦攲㌰晥挴㥣搵愷㜵攸㝦㐶慦ㄵ㘷㥤㘵㙦㠶戱㔳晡晦〱ㄴ㙣愹晦〵㘳㙦ち㤱敦㡥㌲㝣㈸㌰㝥戲㘵挸㠶㍢〲捦㌶㠲㌷敡㘰慣慢㉣㐳摥㘱㙥〹ㅦ慦㠶搵㑡㠲挳敦㤵㙦扦ㅡ搱散㑢摢㜶愰慢〰㘴㙣愸昰っ㐴㔰搷晥㘹戹ㄵ㥦㙥㡢敦㐱挷㝤㈷慤慡攷晡慥ㄹ㡣㉤㈱攸㍢挶㙦捦㑣搸㍣㔳攲ㅢ敤㐲敤㐶散挴攰晢搰攷搴〲〴昶㈹ㄹ扣㕣戱㐸㐶ㄶ戶ㄷ挹攰㜷㐸㈳㠹昰ㄲ戵㠳㝦㠵㜹㕦挳愸攳搳搵〵昸㍡〳ㄶ敤〸㘵ㄷ㝡㥣摢㙦㘸㜰敢㜰㐷敢㕤昰〷挹晡〴㠲㘳㙡〹敦㜹ㅦ昷戵㝤て搲㙤愳戵昹㙣搹㥢捦慤㕣㜸ㅡ㌸摤摥㕢搲㈴挳㜷昲㡢攴戲㕥㈱挴愵晤愳昸扢㝤〷㉤㐷ㅢ〵㥤㐷ㅦ㜴搳ㄱ㌶㕥㠷晢㙣ㅢ搱敦㜳攸㉡愶〸昰搳㡤㈸挳〷㐱㉦ㅦ㔹㔱㝣ㄵ换㈲〳㈰㥦㉢㔶〱扡㔳昵㔳㥢㔱昵㐸㉣㤰〵捦ㄸ㈴挷戲昸㌲ㅡ㜲扢挲㘵㠳㈵戸㙣愱捥ㄲ挸敢㜱て攴㜳㠲㘷〹㌵㤱㉦愲㐳㜳㈲ㄶ㑡扢㑦攴ぢ㥢㑤㐴搰ち㔰ぢ㑤㡥㍦ㄲ㙢ㄱ扤㡥㙡摤㈶㜰〸㕣㠰㘱㡡㐵捡㥡㘲ㄸ㕡昸〱㌱㠳昴慢攸敦ぢ㐷㝦昹㍣搳摦㡥ち㈵〸㔱㤵㥥㍣〵愱㥡晣愷㤳㤳昷㔰摡㝤昲㥦摣㙣昲㈳㤴㤱㥣㠹ㅥ〰っ昵㠹ち晥愸挵㌴㤰攱㍥昲㈷捥ㄱ攰㤷㥡挵㠸㠱ㄲ搵昷㈲㌲攸换つ㔷慤㉥㈱ㄳ昷㉤㜰晤ㄹㅦ昷㈸晢㠸ㄷ㈱改换㈹㠶捥搸㘲愸ㄵ㑢㜶攴㠵摤ㄱ戲〱㑢攲搷戲㕤㐵㝡戱挷〸扦昸㐸㡣㤸ㄳ㈷攲㉦愷戴㈸收〴挲〸㉤㔲搲て㌷㔲㝣㌸㙥晣摤攷㕡㉥㔳㔴㈰㠱㝡挲挶愴㌳搵昸㠹戸昱㈱㝣㤵愵摡攴㜸㠳㠰改㠵戸㌱改㔱㌵㝥㍣㙥晣搷㐳晢㥢㡤㘳㍡っ㐷㉥㤰㐸㌲㙣㕤㘵晤㈷扥搰ㅥ㐶昳㠲㐹晤㌹㘰㠶挵㤴㥣㉡㜴㕣㔷ㅡ㜴㄰㤷㐱㍣㝣㈳㍤㡦扢㑤戸〲〲㈱ㅢ晥慦ㄲ收㜰攷㘹搶〸っ㝣〲扤㡥㘰戳愷慢㈷㜶㉥㥡ぢㅥち晡捤㌹ㅦ㘷慡摡㡥㈲ㄱ㤸〳昹㜰㝦户㜰捡㘷㤸㡥慤晤㠸㠳㘴ㅡ敦㤰昴愶㍣㔴㘰㈵㉦㍥ㄸ㘳㌶昷㔸㡢㘶昴㐷㠱ㅣ㐸㐷㐰㘶昴挷〰挳㐰っ㙦㉢攷㐶挸晦㡡戹㍦挸㡡てㄱ㍣づ㔰ㄶ㘴㜶搲㐱昱〹㠰攱昸㝦㔴㌱戶慥晣㈵㥡㜸㌸㝥㔹㤲㡣昴㡦戰挳㐷〱晡攰扥ㄵㄱㄱ㤶昵㡦愱㈴昹㔲ちづ昵搲㡦戳攲ㄳ〴㥦〴㈸ㄷ㌸搹㙤敦ㅡ搷搴愳收晡ㄴ扡㡡挷〸昰搳㍦ㅤ㘵昸㔰攰㍥扣慤扢慤捣愳㜰晣㘱㍦㐲㥤愹㉦昸敦挱ㄷ昹ㅢ㕣㜴ㅦ晥㠷㈴〵㘵搸攷戵户昶㌶ㄶ㤹㠰㌶戹晡慤㘱戳㕦挲㌸㕣㔷㉢㠲挲ㄱ愹㔴㑡㕡㔱㄰摦㕣戰㜰昱〶扥攵㠸慡㄰㠲㌴愰㉡㥣愸攲㈸ち昴捦戲㈹㜱㑣㍣改㥦攳ㄳ㔱慢㌶昱昳㔱㠶て㠲㜸㔵摤ㅦ㡣扡挷㉦㈴慥㔵㠵搵昶㐲攲㕦㔵慣㈶㕦昸㈴〷㔳挸㐲㈶慤㤵㠸㌴㐵㐳㕦㐶㘶愸㙦㤸㜳扢ㅦ㍦敤㤲愸㥥慢㥤㍢昷捦攱晣搸戵昹〷摥㌹昸攴ぢ扦昸攳㘷㝥晤摥㈳㝦昹搷㔳㑦晤晡㑦㥦㜹晥㕦㍦㕥㌹昲戳愷㥦晥改扤㕦㝢晥㡦㝢捤慦㙢捦晤㜳晥敢㡦㑣㕥㜸攴㈱昳捣㙤挷ㅦ㜹昷㠳昷㑤㉥㕥㌱摥搷搷摦㝦换攸捦慦戹㜵攴戱㠷扥㉦㝥昲扢慢ㅤ愱㤶㡢ㄷ愴愷挱㘵慢㘹㝣〵ㄹ㑣㠳㌳㝥㐵愷挱攵慡㡤㕡㠹㌶㙡ㅡ〵㈵昸㌴㌸〱㔵㘱愴㉢〶晥〳晣敤戲㜵</t>
  </si>
  <si>
    <t>1-10</t>
  </si>
  <si>
    <t>PHASE-1</t>
  </si>
  <si>
    <t>PHASE-2</t>
  </si>
  <si>
    <t>PHASE-3</t>
  </si>
  <si>
    <t>ENTRY PRICE</t>
  </si>
  <si>
    <t>EXIT PRICE</t>
  </si>
  <si>
    <t>㜸〱捤㔹㕢㙣ㅣ㔷ㄹ㥥㤹摤㔹敦慣搷昶收搲㕢㝡摢㐲搳愴㜵㔸挵㐹㐳㤳㤶愸戵㜷攳挴慤ㄳ㍢戱㤳㠰㘸搹㡣㜷捦挴搳捣挵㥤㤹㜵扣㈸㔲㜹㈸㙦㈰愴ち愸ち㐵㉤㐵㔴〲㠴㜸攲捥ぢ愸㔲ㄱちて㐸㤵ち㙦愸㔴㠲㡡慡ち慡〴㝤㈸㉡摦㜷㘶搶摥㕤慦㥤搴つ㤲㡦攵㝦捦㌹晦㌹晦㥣昳摦捥㝦晥愳愸㡡愲㝣㠸挲㕦㤶㌴㉢户捤㌴挳㐸戸愵戲敦㌸愲ㄶ搹扥ㄷ㤶㐶㠳挰㙣㑥摡㘱㤴挲㠰㑣搵〶㍥搴慢愱晤㐵㤱慤㉥㡡㈰挴㈰㕤㔱戲㔹㐳〳㥥㐴昸㕦㘸㌵っ捥捡愷〱㘶换㘳㔳㜳㑦㠲敡㑣攴〷㘲㑦昱㑣㍣昷昰挸㐸㘹愴戴晦晥㤱㐳愵扤㝢㡡攵㠶ㄳ㌵〲㜱搸ㄳ㡤㈸㌰㥤㍤挵改挶㥣㘳搷ㅥㄳ捤㔹晦㠲昰づ㡢戹扤晢攷捣晢て㡥摣㝦攰㠰㜵攸搰挱㍣㍥慤㥣㈸㡦㑤〷挲ち慦ㄷ捤っ㘹㑥㤵挷㑡㈷㐴㜴扤㘸昶㠱㈶㐸㔶㝣搷戴扤敢㐴㔴㈷㙦昷㔷㐴捤愶㄰㠴〸㙣敦㝣〹换敥㘰㌴㕡て㤴挶挱昱㥡ㄹ㐶㘵攱㌸愷㠴挵挵攴㕤昲㑣〴挲慢㠹㜰搰㍤戲㔴ㄳ㑥㠲づ戳敥ㄹ㌳㌸㘱扡㈲捤捡㤰ㅢ换㙤愲㉥扣挸㡥㥡〳敥改㔰㥣㌲扤昳㠲㐳㜴昷㘸挳慥愷搳㙡㍡慤愴㜶昵㕡㡣㤴㑤㘹㍣愸㤵攷捤㈰㤲㉤㑡㙤愴搷搸㌶つ㤱ぢ敦㔸ㄶ戵愸搸㌵㡢㘲㥡戱摤挷㐴攰〹㠷ㅦ愱昰㠶扢〶㐹㥥挴慣㕦㘶㑥㙢㌷攴㠵摡㥦攸扤摣ち㍡㡣㉣㠱〱㤰挹〱っ㥤㌱㥤㠶㈸㑥㡢愰㌸㠳㍤〸愳㥦攸㍣㠰㥡㝥て㌶搴㍥㥤㈸慤㙡㙡搵㌹慤㕡搳慡㜵慤㉡戴慡愵㔵捦㙢搵㜹慤㙡㙢搵㈷戵敡〵㡣㘹㤵㙣㕦㥦㤶㤴慦摦晥㤵ㅦ㥦晢㜲收挴㔷摦㜸敤搲㜳㍦㝤晢㍦昹㐱っ㍡㤹㉣慤ㄲ㤸ㄷ㈱摦ㄵ搵搹㔷摡换扦慢摢っ㑣挶㍡㘰㍤㘰㡤㡣搴て散㌵昷㥢㍡㌷㜷慤㤲摡㡥戱㜹敢慣敤搵晤㡢㔲㜴㜹㙢摣㜶㈲ㄱ挸挶㤰㠵㥦㔸晤㘴㝢挰㍡戲〴扢慤挵㔲摥㙥㤵㐵㄰㐱摦愳收㡡攸㙦ㅢ㌳㐳戱搲ㅣ㑥㘸㡦昹つ慦ㅥ摥摡ㅢ㌹ㄳ㤹㤱搸搱㡤㕢㈱戲㙡摡っ㙣㐱㠴㜲㐹㜷㜴㑦㤳戲ㅣ㕤戲㘳昴敤㕤㘸㔸㠵㍦户㌶㜶㍣㄰㑦㉤㘳㔷慤㘸ㄴ㉥㜳㔱㄰扦㙡㤷㌱㉡㕥㔷戱㍣敦㠷挲㤳换ㅢ㜶愷敤摡〵ㄱ捣〸㍡㕣㔱㤷㕢扤㠱愸挴㌴㠷愷㍣㙣ㄴ挶㔶晦㐴㝢㉦ㄹ㉤扣扡愸㘳扤ぢ攰㜲㜳搶㥣㜳挴㡤ㅤ㐳攲㙦〲㜱㑢㐷昷戸㕦㙢㠴㘵摦㡢〲摦改挴㡣搶ㄷ㑤戸㠳晡㜱扦㉥搲戲㈸㌱㔴㤵㔴㑡㔵㤵摤扤散㡡戴㐳㕡㕥㥢㤲搰扥搷ㅦ摣愶㐴ㅣ摣搳㘲㤷㈹愳搲愶㘴ㅣ㝦敦扡㉢㘹㔷㐲㡥摥扢敥攸ㅥ㑡捡㐹㌷㜷ㅡ㕥改ㄴ攴〳㌹㌸㠲㔶愹摤扤㌶挹ㄵ扤扣捡㑡摢愴挲昳㤵愳搷㘱㥡㈴扢慣㝢晦摦挱㥡戶㉤搹晤㤱㐵㌸晤㘳愶㔷㜷㐴戰㙥㜴愰㜲㐵挶㄰㐱㠱㘰ぢ挱㔶㠲㙤〰晡㍢㜰㤳㙢㜲㤴㡥㕤㕤㔲㥢晡㐵扢ㅥ捤㘷收㠵㝤㝥㍥㐲ㅦ愲㡡㙣㤶散㈶敤㘱晣晦ㅣ㈷摥㌳っ㉤㡣ㅢ〸㙥㈴戸〹㈰㤷㔳㌲㌷攳ㄷ敥摡戸㠵㍦㍢〰㠶㕡愷㕥㌱搶捣㥣愲搳愳㝦昴㜳㐷㝥㔰ㅥ㜳㠸㐳㐲摤〵摤㌰㤵敡挵㡤㘳㘶㌸ㅦ搱㄰搷㐵㜲扢挶慤〴户〱攴㙦〷㌸㜱㑣㌸㌰攳敢ㄵ挲攸㍣㠵慥㝡㔴㔲㍡㌷扡㌳㑤慦㌶ㅦ昸ㅥ〲扡㡡ㄹ㤹愳㌵挴〳愱㙡㘶摣㐹扦摣㠸㌲敥㌱ㅢ㍦㜹昷㤴㔸㄰㘶㔴㠶㥢㡥〶摣㐹挴ㄲ搲㡦㑥搴㤷㜴㌷づ〳㉡㈲慣ㄹ㡣ㄷ㈶攰㤶㤶㌲愸攱捣捣扢㜴㌴㘲㈹㈲改㍥㜷ㅡ㠷愷ㄷㄹㄸ㌴㉣㘷挵㌵捥ㅣ㤰㝤慤搹戹愴〵ち〵㔹㙤愳搲㉦㍢㘲㑡ち㔹愹挰㌳㈹愹㜴〲扢㉤攸㜴㘴㍢㘱㈹㘱㙦愹攲㈳㥥ㄴ㌲愴㈵摢㌳ㄹ㈸㔸㘶㕤㘱㜵ㅢ㍡〳㡥愹摡㕣㑣ㄶ㑢㌹ㅡ昸㡤〵〶ㅤ搷㡢づ㘹㈹挶ㅤ〰㉦晥敢㠷て敤晣捥㑦㍥㑣㝥㥦㠶〹挹㘲㌰㈶㌱愸敦㙣攲㐷ㄶ攳㉥晣攴搶挳改㡣㔸㝡㝡摡㌵㘲㈳㥡㕤摥挵㙥㘷〳㈱㠳扤慣㙣㌴ㄷ挴㠰㝢搶て㉥捣昹晥〵ち㝦㔰戶挲㜹㈱㈲㐶㔰晤㐹挰挸扡慡慡愹㔴㐷㝣搴ㄶ㙡㌱昶捡散〴ㄸㄸ㜵㥣㘲㡢㘲㤸戹〷㕤㈹挶㜲扢㔰搹㍤攱㉤㡡㄰㜷㠶㘲挵㌶㠳㘶ㄱ搷㠷摡㠵攲愸㘷㍡捤搰づ㡢㌲㐲㉣㉤㌹攱㤲晡㘷㜰㠳攱搸搹㝦敦㝢㙦昶敤㜷㈷扥扤㔴㜹晦搹㝦晣敤ㄵ昵㡤〴搱ㅤ㘰改㜴㔷摤ち㈳㠳挵攵愳愷敤㔰愳㈳捡㔸愷㍤㍢ち晢慤搱㐶攴㡦摢㔱㈵㡣昲ㄶ〰慡㜲捡づ改愵摢㈶つ㕢㘷㙣㜱㜱ㄶ㉣扢㜳㌵ち㜱㜴戹㠱慤㐹㕢戸㘳㌵扥攲㥦昰愳㡡ㅤ㉥㌸㘶昳敥ㅥ攸ㄸ㜳㜶㕥㜸〸ㅢ〲㐴て㔷ㅢ攴㉦㉣㠸㝡㡦㌵捥昸㡤愰㈶㈶㉡㥢㈱昰㔰㘳愳㔶愰㌷㌰㘹㜵攷摡〷㙤ㅢ摦愹愹ㅡ㜴㑤摤攰戹㈵てて㠳㐷っ慥慦㉡捥ㄳ㘳て慡㌸㔶㜴ㅥ㘶敢慢㐸㕢㈸㐳户㥢戳㈰搶戸㙦㈰㠹㤵㈷扣搰慥㡢㕣搲㍡㙥㝢㠳㐹㜵慡ㄱ㜵㘰捣愵㙤〹〶〶㌱攵㐱昴㌵㌳愸㙦〶愹㘰㘳㈸戱㐸搴っ晥㌶挶攸㤸㡣愲㕣㘹攵ㅤ慥㍣つ㥦昵㈹㜴㤳搷㡣ㄹ㝡晡愷㘵㜳㐴愵㉤ㄲ愴昹づ㤰摤换摤㔹戶㡥ぢ搳㤳㔲㤸㠹敡ㄵ戱㌸㈸㐷〸㈸㌸慥慦㡥搸搶搹㤴挷㤴㘱㡤捥㠵扥搳㠸挴攰㜲㑤ㅡ扡㘱㥤ㄲ㡥挹愸㍥扦㕣㥢慥㐵戸昷㉣搳㘳挴扥㜹㈴〴㡥愴ㄳ㈹愹㔲㑥㤹㜵㤴户㜳ㄳ戴愱つ㑡ㄵ〷戰㈵换扢て慢摦㝡㥥攵〷て㉢慤㑡㡥㐵搱ㄹ㙤㕣㝢搸㑥㑢摡搶扡㑤挶ㅥ㑥㍡慦㝣慢㡦ㄱ昳㠰㈵晤ㅥ慥挵捣㕣っ搱㜴ㅣ愴㤵㈲扢㘶㍡㑥㜳搰㥡昰㙡㑥愳㉥㈶捤㌹攱戴㝣戶ㅦ戸㥢㐴㕥㌲攳ㄶ换㙡ㅤ扥㈴㜷㤹〹愴摤㕡㤷㠴つ扢㌹挵㈸㠱慤㌲㜲〰㡤㥣戱ㄷ㉤㡡㠶ㄱ晡㐷扥㈳㌱〸搹扡㜲挳㤷〹㈱戸戶㔵㕤昴㘹㡣ㄷ㤷慦㔹搲攲摡㠶㑤晡㤳㌸搱㐵扤慤敢㤸ㅤ㜷㙤ㅡ扢㤲㘲捡㘴㌲ㅢ㍤㘰挰㉢㤴㉢㐹戰〶愷ㄷ户ㅦ㈶晦㈹〱㕥㘷扡㈳捤戶㐰㐴㥥晤搲〹昲㌸ㅡ愲〷㡢〳㠷㔹㍢㜲㐴扦㈵昱戲㥥愵㐹㤰㥢㝤搶散㍣愲戶捡㠰㜵㌴戰敢㡥敤〹〶㈱㐸挹㌰〹㌷㈹捥㈳㜹㌰敤㠷㌶㜳扣〳搶㙣㘰㝡攱〲㠳昳㕡㜳㙢㐷㑢ち㑢户挶㙣て〶ㄴ㝦㤳昵㈱㙢㘶摥扦㠸㌴㜱挳昵㡥㥡ぢ攱愶㄰ㄴㄳ捦㜱㠹慤㑡㔳㌵㑤捤㙡搹㡤㥥㔵㌲㤶㘶㐰愰散〳㔹㡤㈰ㄱㄷ㉦㥥敢搸㉣㈵㤵愴㙦㘸戳㕣㔷㐷扡戵攷摤㜱㌹捦㑥㍦㙣昰㘳昹晤〰㡦ㅥ㍤㍤戱㤲昴晢㔸挹㜲㥤㔷攵㜵㡥〳愹ㅡ换ㄹ〶慡攴㘰慣㉥散愳昶ㄸ㔲敡㙣㜵慢㘰捥㤲㘳愸㡤㌸㐱㌹㥣搵㜱摣晤昲㌰㝥戸㕦摣㤹攱㜷〷攳〶㐳㍡搷㜴挲〴㔷昶㕤搷愴㝡㔱㌵㘷攰扢㐵㔶挶搷昰㈶㠶〵㈰㜵㌰改㌲㤷搰㘵㉥挹㉥ㅣ挹捣ㅡ捡㍡㘹昹攷捤挰㡥收㕤扢㤶㘵㠳㤹扤㑤愱㤷㔰㈱㜹㑦〵㐳㔹愴㜲㈲㔸敤扥㥦挷㔷㑡㠸扢㠴晢〳㔹㐷昱㐳㝢㌵㜹㡥慢ㅢ㑣挹㐰㝤愵挳㌷づ㠰㥡㉥㥦㘵㜸㔳㘶㘹ぢ挲搰㈳ㅤ㤱捡散〹搱挶愷㤳ちㅢ㘹㈶㉢搶扤㈵昳㈶㤷㥢昴捤晡㌸㤲扦㝥搰㤷㍣敥㘴㈱㕡扡㤵愰挰捣㐸ㄹ㘹㐵愴㉢ㄷㄱぢ〷㔹㜶捣㈰攷㤰㘶㑥㈵ㄳ换㤰扣㔱㜴扤㍦摢敢㕢ㄳ㉤㕡㜷㈷㌷挸昶㐷慡㠹㔵昴摦㌹㜹㄰摥㤵摢攲㉢㠹昱〰挱㐱〰㤵㌹ㄷ敥愷㙢挰㈱づ㜸㄰㐰攷搵扢摢㑡搶捣㈲㤰戸敥㌲扢㤱㜵戹ㅤ㠴ㅣㄹ攴㍣㤰㈵〱㑢㌲晤㔹㘶ㄹ㡣㠷〰晥㜸昹昲㘱晣㈸敡㕤〰慤敦㌳ㄳ㥦换㤱㜹挶㘷〸㌸㐲攷㉤攴摡㙥㍤㥣㔸㘸扢㡡搲㐶挳㉤搶挹㠶改攰㥤㘶ち昱㔰挴慥捤㘰〴改㌸㉡敤㝥㜶攸㝣扥挱㠵㑥㙥攱昳㑦㌰〹搲捤㠳捥戱挹摥㐲㡥摣㔸搴㥡搳㝦㠷扣挰戵㝤㠵㔶搰户挸㡣㔶戵㡡㑣て㕡ㄴ㝣捥愰㡡攱晣㔶㜹㕢㤴㘶昳〸㉡㐴昱㕦攵扤㐶昶㡥愲搲㉡㍡㘳戰㜵づ㡦慥㠰㡦昳户慤愸㍡㥤摡戰挳搷搸㕥㌶搲㜹㠶㡣㘱慡捡ㄸ㙦搵ㅡ㔴ㅥ㉦戲户㤲㔴愴ㅥ搳㐵㕣搵㉢搱㤵攱㉡ぢ晦㌴ㄳ㌵ㅤ㥣〹慣㌲ぢㄴ搷㘸〴㌱ㅡ㡢昶〳〴戹改敥扣敦昲㕣㘶㔴晡户㜷攵搹攵㌴㘲攸晥昴㕦㐳㐴㙢捥攷づ㔶愴挲㌹㉣㤹㜱㠰敤挷敤㕡攰㠷扥ㄵㄵ㘷㄰摢ㄴ昹昲㘲㈱捡ㅤ搵㝦〹㡡㍤扦挹㡤愵㍤㍥㘹㑡㐱攷㉥㜸晥㐵㑦慥㐶て昹〰㈵昹搵搷挷捦㌰昶㤵攵㤳攰㘲㠱慥㤲㤳㡤㘳〰〳愹〲㝤つ㑢㠱晥㠶愵㐰攷挲㔲愰㠳㘱ㄹ愲㑢㈰ㄵ慡搲㜵㉤〵㍡ㄲ㑡㌳㌳〱㌰㔸ㅥ慢戶㐵㈳㤹㐷搱㤷㐷㥦昴户愷昰㜰㤳㜹っ㍤㕢搰搳昹挶㕢愰㈷㈲㤵㤵㤷㔰攳〴㥡㉡ㄵ㕥㌲㘲㉡ㄹ挰㐱㠵㐷〰㈴〷愶㔱㌱㑥ㄲ㥣〲挸ㄵ㐶〱㔹㔴愹㡢愸ㄸ慤ㅥ㥥㐴㠵ち㠰㥣㌷㡢捡㐰㑡㈷〳ㅦ㕡㍢攱搳戶㤳㘱㤸㐹挷晢搷ㄱ扣㘷㌵㐹㌴㠵〳㐵㤷晢㑢㙢て㙥㡣ㄶ㥤㄰愳㌰昹晦㈳攸换挷愰㐳㘶慤攸㈸㈹摥㠹㝦攳っ㠰㑡㡥㌲㈷㙢散㈴戸㠷㘰ㄷ㠰晡ち㍥搹㌳㤱昹晤〴搱㥤挸㉣㔰ㅡ㤲㤱㡦㤳挸ㄳ〴㕦〰挸愹ㄴ〸戹慡㝥ㄷ㔳戹ㄵ收㔸戲㕡㑡愵㤰㈴攲愵〴戱㥢〸㕣ぢ㈹㌸㠹㜸㌱㐱摣㡢づ㘳づ㐰愷㤴敥㕢㥢愵㜱晣戶昲昴捡昴㡣㙥搱㌵昴㕢昱换㈷ㄹ㉢搳㘰㡥戴慢㍣㐲戹〰㡦㥦㤳戸㥤㈰㠰挳㍢㝥愲㠵戸戵昰㐸㙤〵ぢ㠶㙣㜱㜲挶㥡ち㄰㍤昴㔹ㄳ㈱敥㐰昵㉣㕥ㄴ㈲㍣㐶㝢㥢攱㠸㠳愷㑢㔳〱愱㠲捣㕣㙡㍤㥤っ扤㐷㜷㜰搱㜶搱㕢攱㐷敢戲慦㌱〲摣搸〱㤷愹攱㘳㉢慦㘰搲慢㠵㥡晡〲攴㑡㈷㤸晢攷扥㕢㍥攴㜲ㄱ㘵㉡㠶挰㡦㔴㐱㔵敥〱㌹㔰攳㍣扢㤸ㄹ㤵㐰搱愹戳摤㥢愲扢ㅦ攷㡣慥户扢晥㝥敥㜴昶昹㕦㍤昲摦晤㑦㡣慡㔴㑢愹㔴捦㈵㑡㐵㉦㤵搵㌲㉡㔵㔵㈲扥㤹㈰攸㜸戲㠸㡥愹扥ㄲ昱㡤〴㐱捦㘳㌸〰㐳搴㐵㔲敦晢㤳愶攲㐹昰ㄹ敤㔵敤㉤昵㝢摡ㄵ㈵㡦㠵愴㔵㠴㤰㠸户㜵㙥攸㥡㌹㑤㉢摤攰㈹敢㘲慡㑡㔶㤱㠶攱㈵ㄵ㌶㠶戸摡戳昸搷㤶搴摡戹晡戹㜳敦て愵㡢㍢搲㥦㝤㈴晦晣㕦晦昰收戳慦㍦㝥昸敦ㅦ扣昰挲敢㙦㍤㝢昹㠳摦捣ㅤ㝥敤攵㤷㕦㝤昴挵换㙦㙥戵㕥搲㝥昶晥攴㑢㤷㐶㉥㕣㝡捡㍡㝤摦搱㑢㥦㝢昲攴挸昴㤶攱㔴慡慦㙦搷戶摦摦扣扢昰愵愷㝥愱晥昶㉦㌷㜹慡晣㌶㍥戰散㔵㔱㔷ち㕣㠳㜴〶ぢ愸っ愴㔴晥㐸㔶㝥㉤㘱攵ㄸ㍡戲慡搲晦㍦㌹ㄷ㥣㌸</t>
  </si>
  <si>
    <t>No.Of Shares Bought in Phase-1</t>
  </si>
  <si>
    <t>No.Of Shares Bought in Phase-2</t>
  </si>
  <si>
    <t>No.Of Shares Bought in Phase-3</t>
  </si>
  <si>
    <t>Total No.Of Shares Bought</t>
  </si>
  <si>
    <t>Capital Gains by selling in Phase-1</t>
  </si>
  <si>
    <t>Total Return</t>
  </si>
  <si>
    <t>Total Capital Gains (PROFITS)</t>
  </si>
  <si>
    <t xml:space="preserve">LET'S CALCULATE THE RETURN YOU CAN GENERATE </t>
  </si>
  <si>
    <t>ASSUMPTIONS</t>
  </si>
  <si>
    <t>YOUR INVESTMENT =</t>
  </si>
  <si>
    <t>Phase-1</t>
  </si>
  <si>
    <t>Phase-2</t>
  </si>
  <si>
    <t>Phase-3</t>
  </si>
  <si>
    <t>Before</t>
  </si>
  <si>
    <t>After</t>
  </si>
  <si>
    <t>1. All financial data of your chosen company will be automatically updated in the sheet you download.</t>
  </si>
  <si>
    <t>2. You may update the sheet and add your own analysis, formulae etc. and then upload again to Screener.in site using the Step 2 mentioned above. But DON'T touch the sheet titled "Data Sheet" because this will cause errors in your future downloads.</t>
  </si>
  <si>
    <t>3. I have added Comments and Instructions wherever necessary so as to explain the concepts. Read those carefully before working on the sheet.</t>
  </si>
  <si>
    <t>4. This sheet is not a replacement of the work required to read annual reports as part of the analysis process. So please do that along with working on this sheet. You may sometime find some discrepancy in numbers (though rare), but you will know this only when you read annual reports.</t>
  </si>
  <si>
    <t>5. I could not find a bug/errors in this spreadsheet, but if you notice some, please email me at -  inverstordiary.vishnu@gmail.com - and I will try to fix the same and update the sheet</t>
  </si>
  <si>
    <t>6. This excel won't work for banking and financial services companies.</t>
  </si>
  <si>
    <t>%ROE</t>
  </si>
  <si>
    <t>PRICING POWER MOAT</t>
  </si>
  <si>
    <t>COST ADVANTAGE MOAT</t>
  </si>
  <si>
    <t>NONE</t>
  </si>
  <si>
    <t>STRENGTH</t>
  </si>
  <si>
    <t>NO MOAT</t>
  </si>
  <si>
    <t>Investor Diary Expert Stock Analysis Excel (V-3)</t>
  </si>
  <si>
    <t>COMPETETIVE ADVANTAGE PERIOD</t>
  </si>
  <si>
    <t>LONG CAP</t>
  </si>
  <si>
    <t>LONGEST CAP</t>
  </si>
  <si>
    <t>BUT</t>
  </si>
  <si>
    <t>AND</t>
  </si>
  <si>
    <t>SHORTEST CAP</t>
  </si>
  <si>
    <t>SHORT CAP</t>
  </si>
  <si>
    <t>INDUSTRY STRUCTURE</t>
  </si>
  <si>
    <t>FAVORABLE COMPANY STRATEGY</t>
  </si>
  <si>
    <t>UNFAVORABLE INDUSTRY STRUCTURE</t>
  </si>
  <si>
    <t>FAVORABLE INDUSTRY STRUCTURE</t>
  </si>
  <si>
    <t>UNFAVORABLE COMPANY STRATEGY</t>
  </si>
  <si>
    <t>FAVORABLE</t>
  </si>
  <si>
    <t>UNFAVORABLE</t>
  </si>
  <si>
    <t>COMPANY STRATEGY</t>
  </si>
  <si>
    <t>1. PRICING POWER</t>
  </si>
  <si>
    <t>2. LOW-COST</t>
  </si>
  <si>
    <t>3. BOTH</t>
  </si>
  <si>
    <t>4. NONE</t>
  </si>
  <si>
    <t>GROWTH ADVANTAGE PERIOD</t>
  </si>
  <si>
    <t>HIGHEST PAT GROWTH</t>
  </si>
  <si>
    <t>HIGH COMPANY GROWTH MINDSET</t>
  </si>
  <si>
    <t xml:space="preserve">HIGH INDUSTRY GROWTH </t>
  </si>
  <si>
    <t xml:space="preserve"> LOW INDUSTRY GROWTH </t>
  </si>
  <si>
    <t>LOW COMPANY GROWTH MINDSET</t>
  </si>
  <si>
    <t>HIGH  PAT GROWTH</t>
  </si>
  <si>
    <t>LOWER  PAT GROWTH</t>
  </si>
  <si>
    <t>LOWEST PAT GROWTH</t>
  </si>
  <si>
    <t>COMPANY GROWTH MINDSET</t>
  </si>
  <si>
    <t>`</t>
  </si>
  <si>
    <t>1. AGGRESSIVE CAPACITY EXPANSION</t>
  </si>
  <si>
    <t>INDUSTRY GROWTH</t>
  </si>
  <si>
    <t>GROWTH ADVANTAGE MATRIX</t>
  </si>
  <si>
    <t xml:space="preserve">  COMPETETIVE ADVANTAGE MATRIX</t>
  </si>
  <si>
    <t>MOAT GROWTH ADVANTAGE PERIOD</t>
  </si>
  <si>
    <t xml:space="preserve">GROWTH </t>
  </si>
  <si>
    <t>MOAT</t>
  </si>
  <si>
    <t>WEAK</t>
  </si>
  <si>
    <t>MOAT GROWTH MATRIX</t>
  </si>
  <si>
    <t>GROWTH TRAP</t>
  </si>
  <si>
    <t>WEALTH DESTROYER</t>
  </si>
  <si>
    <t>TRUE WEALTH CREATOR</t>
  </si>
  <si>
    <t>QUALITY TRAP</t>
  </si>
  <si>
    <t>HIGH GROWTH</t>
  </si>
  <si>
    <t>HIGH MOAT</t>
  </si>
  <si>
    <t>WEAK MOAT</t>
  </si>
  <si>
    <t>LOW GROWTH</t>
  </si>
  <si>
    <t>ENDURING MULTIBAGGER</t>
  </si>
  <si>
    <t>UNDERPERFORMER</t>
  </si>
  <si>
    <t>PERMANENT LOSS OF CAPITAL</t>
  </si>
  <si>
    <t>TRANSITORY MULTIBAGGER</t>
  </si>
  <si>
    <t xml:space="preserve">                                        2. INORGANIC GROWTH STRATEGY</t>
  </si>
  <si>
    <t xml:space="preserve">                                        3. OPERATING/FINANCIAL LEVERAGE</t>
  </si>
  <si>
    <t xml:space="preserve">10-YR </t>
  </si>
  <si>
    <t>7-YR</t>
  </si>
  <si>
    <t>5-YR</t>
  </si>
  <si>
    <t>3-YR</t>
  </si>
  <si>
    <t>NET PROFITS CAGR</t>
  </si>
  <si>
    <t>ESTIMATING THE RISKINESS IN CASH FLOWS (DISCOUNT RATE)</t>
  </si>
  <si>
    <t>1. SIZE</t>
  </si>
  <si>
    <t xml:space="preserve">2. FINANCIAL HEALTH </t>
  </si>
  <si>
    <t>3. EARNINGS GROWTH</t>
  </si>
  <si>
    <t>4. ECONOMIC MOAT</t>
  </si>
  <si>
    <t>5. MANAGEMENT</t>
  </si>
  <si>
    <t>6. COMPLEXITY</t>
  </si>
  <si>
    <t>HIGH QUALITY MANAGEMENT</t>
  </si>
  <si>
    <t>PEG RATIO</t>
  </si>
  <si>
    <t>PE &lt; G Price</t>
  </si>
  <si>
    <t>Implied PE</t>
  </si>
  <si>
    <t>Dhandho - Worst Case</t>
  </si>
  <si>
    <t>Dhandho - Best Case</t>
  </si>
  <si>
    <t>Speculative Return from this stock in the next 10 years</t>
  </si>
  <si>
    <t>Investment Return</t>
  </si>
  <si>
    <t>+</t>
  </si>
  <si>
    <t>Speculative Return</t>
  </si>
  <si>
    <t>=</t>
  </si>
  <si>
    <t>Dividends</t>
  </si>
  <si>
    <t>Expected Dividend Income From This Stock In Next The 10 Years</t>
  </si>
  <si>
    <t>EXPECTED DIVIDEND INCOME ANALYSIS (FUNDAMENTAL GROWTH)</t>
  </si>
  <si>
    <t>Current Share Price</t>
  </si>
  <si>
    <t>Investment Return = % EPS Growth + Dividend Income</t>
  </si>
  <si>
    <t>Investment return =</t>
  </si>
  <si>
    <t>What IF, Initial FCF Is Negative, Then Make Your Best Case Assumptions,</t>
  </si>
  <si>
    <t>EXPECTED DIVIDEND INCOME ANALYSIS (MANUAL GROWTH)</t>
  </si>
  <si>
    <t>Total Return = Investment Return + Speculative Return</t>
  </si>
  <si>
    <t xml:space="preserve"> GROWTH RATE (MANUALLY INPUTTED)</t>
  </si>
  <si>
    <t>DIVIDENDS IN CRORES =</t>
  </si>
  <si>
    <t>Capital Gains + Dividends</t>
  </si>
  <si>
    <t>Estimated 10th Year Share Price + Dividends</t>
  </si>
  <si>
    <t xml:space="preserve">Estimated 10th Year Share Price </t>
  </si>
  <si>
    <t>Capital Gains</t>
  </si>
  <si>
    <t xml:space="preserve">          ATTENTION PLEASE!                     Make Sure That Capital Gains Are Atleast 15%</t>
  </si>
  <si>
    <t xml:space="preserve">   DANGER! DANGER!                             You have Inputted The Most Unrealistic And Irrational Growth Rate</t>
  </si>
  <si>
    <t xml:space="preserve">Dividend Return </t>
  </si>
  <si>
    <t>Discounted Value</t>
  </si>
  <si>
    <t>Pr. Value</t>
  </si>
  <si>
    <t>Estimated 10th Year Market Cap</t>
  </si>
  <si>
    <t xml:space="preserve"> Discounted Estimated 10th Year Market Cap</t>
  </si>
  <si>
    <t>Discounted Dividends</t>
  </si>
  <si>
    <t xml:space="preserve">Estimated 10th Year Market Cap </t>
  </si>
  <si>
    <t>Total Returns Model</t>
  </si>
  <si>
    <t>Disounted Earnings Valuation</t>
  </si>
  <si>
    <t>IT’S AMOST A  DEBTFREE COMPANY</t>
  </si>
  <si>
    <t>INCREASED</t>
  </si>
  <si>
    <t>CASH AS % OF TOTAL ASSETS IS AROUND 51%</t>
  </si>
  <si>
    <t>DECREASED</t>
  </si>
  <si>
    <t>A/R IS 5 DAYS</t>
  </si>
  <si>
    <t>INV DAYS IS 40</t>
  </si>
  <si>
    <t>AVANTI FEEDS IS A DEBTFREE COMPANY AND IS NOT SELLING ANY ADDITIONAL SHARES. ITS RESERVES ARE INCREASING CONSISTENTLY. IT'S RUNNING A  LOW CAPITAL INTENSIVE BUSINESS, i.e., CASH AS A % OF TOTAL ASSETS IS 51%, WHERE AS ITS NET TANGIBLE ASSETS + CWIP (CAPITAL WORK IN PROGRESS) IS ONLY 19%.  ITS ACCOUNTS RECEIVABLE DAYS AND INTENTORY DAYS IMPROVED SIGNIFICANTLY OVER THE YEARS.</t>
  </si>
  <si>
    <t>W.Avg Intrinsic Value</t>
  </si>
  <si>
    <t>Click Here To Get Multi-Bagger List Of Stocks</t>
  </si>
  <si>
    <t>Investment Return from this stock in the next 10 years</t>
  </si>
  <si>
    <t>Click Here: List Of 52-Week Low Stocks In India</t>
  </si>
  <si>
    <t>Click Here: IPO Historic Table</t>
  </si>
  <si>
    <r>
      <rPr>
        <sz val="11"/>
        <rFont val="Calibri"/>
        <family val="2"/>
        <scheme val="minor"/>
      </rPr>
      <t>Step 2 - After creating your account, while you are logged in to Screener.in website, visit this page -</t>
    </r>
    <r>
      <rPr>
        <sz val="11"/>
        <color theme="1"/>
        <rFont val="Calibri"/>
        <family val="2"/>
        <scheme val="minor"/>
      </rPr>
      <t xml:space="preserve"> </t>
    </r>
    <r>
      <rPr>
        <sz val="11"/>
        <color rgb="FF0000FF"/>
        <rFont val="Calibri"/>
        <family val="2"/>
        <scheme val="minor"/>
      </rPr>
      <t>https://www.screener.in/excel/</t>
    </r>
    <r>
      <rPr>
        <sz val="11"/>
        <color theme="1"/>
        <rFont val="Calibri"/>
        <family val="2"/>
        <scheme val="minor"/>
      </rPr>
      <t xml:space="preserve"> - 
                </t>
    </r>
    <r>
      <rPr>
        <sz val="11"/>
        <rFont val="Calibri"/>
        <family val="2"/>
        <scheme val="minor"/>
      </rPr>
      <t>and upload this excel file.</t>
    </r>
  </si>
  <si>
    <t>Colgate-Palm.</t>
  </si>
  <si>
    <t>Cera Sanitary.</t>
  </si>
  <si>
    <t>Century Ply.</t>
  </si>
  <si>
    <t>Castrol India</t>
  </si>
  <si>
    <t>CARE Ratings</t>
  </si>
  <si>
    <t>Cadila Health.</t>
  </si>
  <si>
    <t>Bombay Burmah</t>
  </si>
  <si>
    <t>Berger Paints</t>
  </si>
  <si>
    <t>Avanti Feeds</t>
  </si>
  <si>
    <t>Atul Auto</t>
  </si>
  <si>
    <t>Astral Poly</t>
  </si>
  <si>
    <t>Amrutanjan Healt</t>
  </si>
  <si>
    <t>Amara Raja Batt.</t>
  </si>
  <si>
    <t>Alembic Pharma</t>
  </si>
  <si>
    <t>Akzo Nobel</t>
  </si>
  <si>
    <t>Ajanta Pharma</t>
  </si>
  <si>
    <t>AIA Engg.</t>
  </si>
  <si>
    <t>Accelya Kale</t>
  </si>
  <si>
    <t>Abbott India</t>
  </si>
  <si>
    <t>3M India</t>
  </si>
  <si>
    <t>GlaxoSmith C H L</t>
  </si>
  <si>
    <t>Gillette India</t>
  </si>
  <si>
    <t>Gabriel India</t>
  </si>
  <si>
    <t>G M Breweries</t>
  </si>
  <si>
    <t>Foseco India</t>
  </si>
  <si>
    <t>FDC</t>
  </si>
  <si>
    <t>Endurance Tech.</t>
  </si>
  <si>
    <t>Elantas Beck</t>
  </si>
  <si>
    <t>eClerx Services</t>
  </si>
  <si>
    <t>Dr Lal Pathlabs</t>
  </si>
  <si>
    <t>Divi's Lab.</t>
  </si>
  <si>
    <t>Dhanuka Agritech</t>
  </si>
  <si>
    <t>DFM Foods</t>
  </si>
  <si>
    <t>Cyient</t>
  </si>
  <si>
    <t>Cummins India</t>
  </si>
  <si>
    <t>CRISIL</t>
  </si>
  <si>
    <t>Gulf Oil Lubric.</t>
  </si>
  <si>
    <t>Hawkins Cookers</t>
  </si>
  <si>
    <t>Honeywell Auto</t>
  </si>
  <si>
    <t>ICRA</t>
  </si>
  <si>
    <t>Indraprastha Gas</t>
  </si>
  <si>
    <t>Jyothy Lab.</t>
  </si>
  <si>
    <t>Kajaria Ceramics</t>
  </si>
  <si>
    <t>Kansai Nerolac</t>
  </si>
  <si>
    <t>Kewal Kir.Cloth.</t>
  </si>
  <si>
    <t>L &amp; T Infotech</t>
  </si>
  <si>
    <t>La Opala RG</t>
  </si>
  <si>
    <t>Marico</t>
  </si>
  <si>
    <t>Mayur Uniquote</t>
  </si>
  <si>
    <t>Mindtree</t>
  </si>
  <si>
    <t>MRF</t>
  </si>
  <si>
    <t>Navneet Educat.</t>
  </si>
  <si>
    <t>NESCO</t>
  </si>
  <si>
    <t>Oracle Fin.Serv.</t>
  </si>
  <si>
    <t>Orient Refrac.</t>
  </si>
  <si>
    <t>P &amp; G Hygiene</t>
  </si>
  <si>
    <t>P I Inds.</t>
  </si>
  <si>
    <t>Page Industries</t>
  </si>
  <si>
    <t>Persistent Sys</t>
  </si>
  <si>
    <t>Poly Medicure</t>
  </si>
  <si>
    <t>Relaxo Footwear</t>
  </si>
  <si>
    <t>Sanofi India</t>
  </si>
  <si>
    <t>Sheela Foam</t>
  </si>
  <si>
    <t>Solar Inds.</t>
  </si>
  <si>
    <t>Sonata Software</t>
  </si>
  <si>
    <t>Sun TV Network</t>
  </si>
  <si>
    <t>Supreme Inds.</t>
  </si>
  <si>
    <t>Swaraj Engines</t>
  </si>
  <si>
    <t>Symphony</t>
  </si>
  <si>
    <t>Syngene Intl.</t>
  </si>
  <si>
    <t>Tata Elxsi</t>
  </si>
  <si>
    <t>Thyrocare Tech.</t>
  </si>
  <si>
    <t>Tide Water Oil</t>
  </si>
  <si>
    <t>TTK Prestige</t>
  </si>
  <si>
    <t>V-Guard Inds.</t>
  </si>
  <si>
    <t>Vinati Organics</t>
  </si>
  <si>
    <t>VST Inds.</t>
  </si>
  <si>
    <t>Whirlpool India</t>
  </si>
  <si>
    <t>Zensar Tech.</t>
  </si>
  <si>
    <t>Zydus Wellness</t>
  </si>
  <si>
    <t>Galaxy Surfactant</t>
  </si>
  <si>
    <t>Hind.Zinc</t>
  </si>
  <si>
    <t>Hind. Unilever</t>
  </si>
  <si>
    <t>Hero Motocorp</t>
  </si>
  <si>
    <t>HCL Technologies</t>
  </si>
  <si>
    <t>Godrej Consumer</t>
  </si>
  <si>
    <t>Eicher Motors</t>
  </si>
  <si>
    <t>Dabur India</t>
  </si>
  <si>
    <t>Britannia Inds.</t>
  </si>
  <si>
    <t>Bajaj Auto</t>
  </si>
  <si>
    <t>Avenue Super.</t>
  </si>
  <si>
    <t>Asian Paints</t>
  </si>
  <si>
    <t>Infosys</t>
  </si>
  <si>
    <t>Wipro</t>
  </si>
  <si>
    <t>Titan Company</t>
  </si>
  <si>
    <t>Tech Mahindra</t>
  </si>
  <si>
    <t>TCS</t>
  </si>
  <si>
    <t>pidilite industries</t>
  </si>
  <si>
    <t>Nestle India</t>
  </si>
  <si>
    <t>Maruti Suzuki</t>
  </si>
  <si>
    <t>ITC</t>
  </si>
  <si>
    <t>Jenburkt Pharma</t>
  </si>
  <si>
    <t>Cupid</t>
  </si>
  <si>
    <t>Control Print</t>
  </si>
  <si>
    <t>Assoc.Alcohols</t>
  </si>
  <si>
    <t>(High Quality Stocks)---List Of Stocks That Passed Our 2-Minute Test In India</t>
  </si>
  <si>
    <t>Financial Services Companies Are Not Included In This List</t>
  </si>
  <si>
    <t>Aurabindo Pharma</t>
  </si>
  <si>
    <t>Balkrishna Ind</t>
  </si>
  <si>
    <t>CCL Products</t>
  </si>
  <si>
    <t>You have to adjust the initial free cash flows in case if they are negative.</t>
  </si>
  <si>
    <t>Multi-Bagger Gains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</si>
</sst>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43" formatCode="_(* #,##0.00_);_(* \(#,##0.00\);_(* &quot;-&quot;??_);_(@_)"/>
    <numFmt numFmtId="164" formatCode="_ * #,##0.00_ ;_ * \-#,##0.00_ ;_ * &quot;-&quot;??_ ;_ @_ "/>
    <numFmt numFmtId="165" formatCode="[$-409]mmm\-yy;@"/>
    <numFmt numFmtId="166" formatCode="_(* #,##0_);_(* \(#,##0\);_(* &quot;-&quot;??_);_(@_)"/>
    <numFmt numFmtId="167" formatCode="_(* #,##0.0_);_(* \(#,##0.0\);_(* &quot;-&quot;??_);_(@_)"/>
    <numFmt numFmtId="168" formatCode="[$-409]mmm/yy;@"/>
    <numFmt numFmtId="169" formatCode="_ * #,##0.0_ ;_ * \-#,##0.0_ ;_ * &quot;-&quot;??_ ;_ @_ "/>
    <numFmt numFmtId="170" formatCode="_ * #,##0_ ;_ * \-#,##0_ ;_ * &quot;-&quot;??_ ;_ @_ "/>
    <numFmt numFmtId="171" formatCode="0.0%"/>
    <numFmt numFmtId="172" formatCode="#,##0.000_);[Red]\(#,##0.000\)"/>
    <numFmt numFmtId="173" formatCode="0.0000%"/>
    <numFmt numFmtId="174" formatCode="0.0"/>
    <numFmt numFmtId="175" formatCode="0.0000000000000000%"/>
    <numFmt numFmtId="176" formatCode="#,##0.0"/>
  </numFmts>
  <fonts count="125"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0"/>
      <color theme="1"/>
      <name val="Arial"/>
      <family val="2"/>
    </font>
    <font>
      <sz val="10"/>
      <color theme="1"/>
      <name val="Arial"/>
      <family val="2"/>
    </font>
    <font>
      <b/>
      <sz val="10"/>
      <color theme="0"/>
      <name val="Arial"/>
      <family val="2"/>
    </font>
    <font>
      <i/>
      <sz val="10"/>
      <color theme="1"/>
      <name val="Arial"/>
      <family val="2"/>
    </font>
    <font>
      <sz val="10"/>
      <color theme="0"/>
      <name val="Arial"/>
      <family val="2"/>
    </font>
    <font>
      <sz val="10"/>
      <name val="Arial"/>
      <family val="2"/>
    </font>
    <font>
      <u/>
      <sz val="10"/>
      <color theme="10"/>
      <name val="Arial"/>
      <family val="2"/>
    </font>
    <font>
      <sz val="9"/>
      <color indexed="81"/>
      <name val="Tahoma"/>
      <family val="2"/>
    </font>
    <font>
      <b/>
      <sz val="9"/>
      <color indexed="81"/>
      <name val="Tahoma"/>
      <family val="2"/>
    </font>
    <font>
      <sz val="10"/>
      <color rgb="FFC00000"/>
      <name val="Arial"/>
      <family val="2"/>
    </font>
    <font>
      <b/>
      <sz val="10"/>
      <color theme="1" tint="0.14999847407452621"/>
      <name val="Arial"/>
      <family val="2"/>
    </font>
    <font>
      <b/>
      <i/>
      <sz val="9"/>
      <color indexed="81"/>
      <name val="Tahoma"/>
      <family val="2"/>
    </font>
    <font>
      <b/>
      <sz val="10"/>
      <name val="Arial"/>
      <family val="2"/>
    </font>
    <font>
      <i/>
      <sz val="10"/>
      <color rgb="FFC00000"/>
      <name val="Arial"/>
      <family val="2"/>
    </font>
    <font>
      <b/>
      <sz val="10"/>
      <color rgb="FFC00000"/>
      <name val="Arial"/>
      <family val="2"/>
    </font>
    <font>
      <b/>
      <i/>
      <sz val="10"/>
      <color theme="1"/>
      <name val="Arial"/>
      <family val="2"/>
    </font>
    <font>
      <sz val="10"/>
      <color theme="1"/>
      <name val="Calibri"/>
      <family val="2"/>
      <scheme val="minor"/>
    </font>
    <font>
      <b/>
      <sz val="10"/>
      <color theme="0"/>
      <name val="Arial"/>
      <family val="2"/>
    </font>
    <font>
      <i/>
      <sz val="10"/>
      <color theme="1"/>
      <name val="Arial"/>
      <family val="2"/>
    </font>
    <font>
      <sz val="10"/>
      <color theme="1"/>
      <name val="Arial"/>
      <family val="2"/>
    </font>
    <font>
      <b/>
      <sz val="10"/>
      <color theme="1"/>
      <name val="Arial"/>
      <family val="2"/>
    </font>
    <font>
      <sz val="10"/>
      <color theme="1"/>
      <name val="Arial"/>
      <family val="2"/>
    </font>
    <font>
      <b/>
      <sz val="10"/>
      <color theme="0"/>
      <name val="Arial"/>
      <family val="2"/>
    </font>
    <font>
      <b/>
      <i/>
      <sz val="10"/>
      <color rgb="FFC00000"/>
      <name val="Arial"/>
      <family val="2"/>
    </font>
    <font>
      <b/>
      <sz val="9"/>
      <color theme="0"/>
      <name val="Arial"/>
      <family val="2"/>
    </font>
    <font>
      <b/>
      <sz val="28"/>
      <color theme="0"/>
      <name val="Andalus"/>
      <family val="1"/>
    </font>
    <font>
      <u/>
      <sz val="16"/>
      <color theme="10"/>
      <name val="Andalus"/>
      <family val="1"/>
    </font>
    <font>
      <sz val="16"/>
      <color theme="0"/>
      <name val="Calibri"/>
      <family val="2"/>
      <scheme val="minor"/>
    </font>
    <font>
      <sz val="16"/>
      <color rgb="FF000000"/>
      <name val="Calibri"/>
      <family val="2"/>
      <scheme val="minor"/>
    </font>
    <font>
      <b/>
      <u/>
      <sz val="18"/>
      <color rgb="FF0000FF"/>
      <name val="Calibri"/>
      <family val="2"/>
    </font>
    <font>
      <b/>
      <sz val="11"/>
      <color theme="0"/>
      <name val="Calibri"/>
      <family val="2"/>
      <scheme val="minor"/>
    </font>
    <font>
      <b/>
      <sz val="18"/>
      <color theme="0"/>
      <name val="Calibri"/>
      <family val="2"/>
      <scheme val="minor"/>
    </font>
    <font>
      <b/>
      <sz val="15"/>
      <color theme="0"/>
      <name val="Arial"/>
      <family val="2"/>
    </font>
    <font>
      <b/>
      <sz val="12"/>
      <color theme="0"/>
      <name val="Arial"/>
      <family val="2"/>
    </font>
    <font>
      <sz val="11"/>
      <color rgb="FFFF0000"/>
      <name val="Calibri"/>
      <family val="2"/>
      <scheme val="minor"/>
    </font>
    <font>
      <i/>
      <u/>
      <sz val="11"/>
      <color rgb="FF0000FF"/>
      <name val="Calibri"/>
      <family val="2"/>
    </font>
    <font>
      <sz val="11"/>
      <color theme="9"/>
      <name val="Calibri"/>
      <family val="2"/>
      <scheme val="minor"/>
    </font>
    <font>
      <sz val="11"/>
      <color rgb="FFC00000"/>
      <name val="Calibri"/>
      <family val="2"/>
      <scheme val="minor"/>
    </font>
    <font>
      <sz val="18"/>
      <color theme="0"/>
      <name val="Calibri"/>
      <family val="2"/>
      <scheme val="minor"/>
    </font>
    <font>
      <sz val="11"/>
      <name val="Calibri"/>
      <family val="2"/>
      <scheme val="minor"/>
    </font>
    <font>
      <sz val="11"/>
      <color rgb="FFFFFF00"/>
      <name val="Calibri"/>
      <family val="2"/>
      <scheme val="minor"/>
    </font>
    <font>
      <b/>
      <sz val="14"/>
      <color theme="0"/>
      <name val="Calibri"/>
      <family val="2"/>
      <scheme val="minor"/>
    </font>
    <font>
      <b/>
      <sz val="16"/>
      <color theme="0"/>
      <name val="Calibri"/>
      <family val="2"/>
      <scheme val="minor"/>
    </font>
    <font>
      <b/>
      <sz val="11"/>
      <color rgb="FFFF0000"/>
      <name val="Calibri"/>
      <family val="2"/>
      <scheme val="minor"/>
    </font>
    <font>
      <b/>
      <sz val="11"/>
      <name val="Calibri"/>
      <family val="2"/>
      <scheme val="minor"/>
    </font>
    <font>
      <b/>
      <sz val="11"/>
      <color rgb="FF3333CC"/>
      <name val="Calibri"/>
      <family val="2"/>
      <scheme val="minor"/>
    </font>
    <font>
      <b/>
      <sz val="11"/>
      <color rgb="FFC00000"/>
      <name val="Calibri"/>
      <family val="2"/>
      <scheme val="minor"/>
    </font>
    <font>
      <b/>
      <u/>
      <sz val="11"/>
      <color rgb="FF0000FF"/>
      <name val="Calibri"/>
      <family val="2"/>
    </font>
    <font>
      <sz val="11"/>
      <color rgb="FF000000"/>
      <name val="Calibri"/>
      <family val="2"/>
      <scheme val="minor"/>
    </font>
    <font>
      <b/>
      <sz val="11"/>
      <color theme="9"/>
      <name val="Calibri"/>
      <family val="2"/>
      <scheme val="minor"/>
    </font>
    <font>
      <b/>
      <sz val="11"/>
      <color rgb="FF0070C0"/>
      <name val="Calibri"/>
      <family val="2"/>
      <scheme val="minor"/>
    </font>
    <font>
      <b/>
      <i/>
      <sz val="10"/>
      <name val="Arial"/>
      <family val="2"/>
    </font>
    <font>
      <b/>
      <sz val="20"/>
      <color theme="0"/>
      <name val="Calibri"/>
      <family val="2"/>
      <scheme val="minor"/>
    </font>
    <font>
      <b/>
      <i/>
      <sz val="9.8000000000000007"/>
      <color rgb="FFFF0000"/>
      <name val="Arial"/>
      <family val="2"/>
    </font>
    <font>
      <i/>
      <sz val="10"/>
      <name val="Arial"/>
      <family val="2"/>
    </font>
    <font>
      <b/>
      <sz val="10"/>
      <color rgb="FFFF0000"/>
      <name val="Arial"/>
      <family val="2"/>
    </font>
    <font>
      <b/>
      <sz val="9"/>
      <color theme="1"/>
      <name val="Arial"/>
      <family val="2"/>
    </font>
    <font>
      <b/>
      <sz val="11"/>
      <color rgb="FF000000"/>
      <name val="Calibri"/>
      <family val="2"/>
      <scheme val="minor"/>
    </font>
    <font>
      <u/>
      <sz val="11"/>
      <color rgb="FF0000FF"/>
      <name val="Calibri"/>
      <family val="2"/>
    </font>
    <font>
      <u/>
      <sz val="11"/>
      <name val="Calibri"/>
      <family val="2"/>
    </font>
    <font>
      <b/>
      <sz val="12"/>
      <color theme="1"/>
      <name val="Arial"/>
      <family val="2"/>
    </font>
    <font>
      <b/>
      <sz val="28"/>
      <color theme="1"/>
      <name val="Calibri"/>
      <family val="2"/>
      <scheme val="minor"/>
    </font>
    <font>
      <b/>
      <sz val="18"/>
      <color theme="1"/>
      <name val="Calibri"/>
      <family val="2"/>
      <scheme val="minor"/>
    </font>
    <font>
      <b/>
      <sz val="26"/>
      <color theme="1"/>
      <name val="Arial"/>
      <family val="2"/>
    </font>
    <font>
      <sz val="28"/>
      <color theme="1"/>
      <name val="Arial"/>
      <family val="2"/>
    </font>
    <font>
      <sz val="11"/>
      <color indexed="81"/>
      <name val="Tahoma"/>
      <family val="2"/>
    </font>
    <font>
      <b/>
      <sz val="11"/>
      <color indexed="81"/>
      <name val="Tahoma"/>
      <family val="2"/>
    </font>
    <font>
      <sz val="72"/>
      <color theme="1"/>
      <name val="Calibri"/>
      <family val="2"/>
      <scheme val="minor"/>
    </font>
    <font>
      <b/>
      <sz val="20"/>
      <color theme="1"/>
      <name val="Calibri"/>
      <family val="2"/>
      <scheme val="minor"/>
    </font>
    <font>
      <b/>
      <sz val="28"/>
      <color rgb="FF00B050"/>
      <name val="Calibri"/>
      <family val="2"/>
      <scheme val="minor"/>
    </font>
    <font>
      <sz val="36"/>
      <color rgb="FFFF0000"/>
      <name val="Calibri"/>
      <family val="2"/>
      <scheme val="minor"/>
    </font>
    <font>
      <b/>
      <sz val="72"/>
      <color theme="1"/>
      <name val="Calibri"/>
      <family val="2"/>
      <scheme val="minor"/>
    </font>
    <font>
      <b/>
      <sz val="18"/>
      <color theme="1"/>
      <name val="Arial"/>
      <family val="2"/>
    </font>
    <font>
      <sz val="36"/>
      <color rgb="FFFF0000"/>
      <name val="Arial"/>
      <family val="2"/>
    </font>
    <font>
      <b/>
      <sz val="72"/>
      <color theme="1"/>
      <name val="Arial"/>
      <family val="2"/>
    </font>
    <font>
      <sz val="72"/>
      <color theme="1"/>
      <name val="Arial"/>
      <family val="2"/>
    </font>
    <font>
      <b/>
      <sz val="36"/>
      <color rgb="FF00B050"/>
      <name val="Calibri"/>
      <family val="2"/>
      <scheme val="minor"/>
    </font>
    <font>
      <sz val="48"/>
      <color rgb="FFFF0000"/>
      <name val="Arial"/>
      <family val="2"/>
    </font>
    <font>
      <b/>
      <sz val="15"/>
      <color theme="1"/>
      <name val="Arial"/>
      <family val="2"/>
    </font>
    <font>
      <b/>
      <sz val="14"/>
      <name val="Calibri"/>
      <family val="2"/>
      <scheme val="minor"/>
    </font>
    <font>
      <sz val="14"/>
      <color theme="9"/>
      <name val="Calibri"/>
      <family val="2"/>
      <scheme val="minor"/>
    </font>
    <font>
      <b/>
      <u/>
      <sz val="20"/>
      <color rgb="FF0000FF"/>
      <name val="Calibri"/>
      <family val="2"/>
    </font>
    <font>
      <b/>
      <sz val="16"/>
      <color rgb="FF000000"/>
      <name val="Calibri"/>
      <family val="2"/>
      <scheme val="minor"/>
    </font>
    <font>
      <b/>
      <u/>
      <sz val="16"/>
      <color theme="10"/>
      <name val="Andalus"/>
      <family val="1"/>
    </font>
    <font>
      <b/>
      <sz val="20"/>
      <color rgb="FF000000"/>
      <name val="Calibri"/>
      <family val="2"/>
      <scheme val="minor"/>
    </font>
    <font>
      <b/>
      <u/>
      <sz val="16"/>
      <color rgb="FF0000FF"/>
      <name val="Calibri"/>
      <family val="2"/>
    </font>
    <font>
      <b/>
      <u/>
      <sz val="22"/>
      <color rgb="FF0000FF"/>
      <name val="Calibri"/>
      <family val="2"/>
    </font>
    <font>
      <sz val="14"/>
      <color rgb="FF000000"/>
      <name val="Times New Roman"/>
      <family val="1"/>
    </font>
    <font>
      <b/>
      <sz val="14"/>
      <color rgb="FF000000"/>
      <name val="Calibri"/>
      <family val="2"/>
      <scheme val="minor"/>
    </font>
    <font>
      <b/>
      <sz val="11"/>
      <color rgb="FF0000FF"/>
      <name val="Calibri"/>
      <family val="2"/>
      <scheme val="minor"/>
    </font>
    <font>
      <b/>
      <sz val="11"/>
      <color theme="0"/>
      <name val="Calibri"/>
      <family val="2"/>
    </font>
    <font>
      <b/>
      <u/>
      <sz val="11"/>
      <color rgb="FFFFC000"/>
      <name val="Calibri"/>
      <family val="2"/>
    </font>
    <font>
      <b/>
      <u/>
      <sz val="11"/>
      <name val="Calibri"/>
      <family val="2"/>
    </font>
    <font>
      <sz val="11"/>
      <name val="Calibri"/>
      <family val="2"/>
    </font>
    <font>
      <sz val="11"/>
      <color theme="0"/>
      <name val="Calibri"/>
      <family val="2"/>
    </font>
    <font>
      <b/>
      <sz val="11"/>
      <color rgb="FF0000FF"/>
      <name val="Calibri"/>
      <family val="2"/>
    </font>
    <font>
      <b/>
      <sz val="12"/>
      <color theme="1"/>
      <name val="Calibri"/>
      <family val="2"/>
      <scheme val="minor"/>
    </font>
    <font>
      <b/>
      <sz val="28"/>
      <color rgb="FFFFFF00"/>
      <name val="Andalus"/>
      <family val="1"/>
    </font>
    <font>
      <sz val="28"/>
      <color theme="9"/>
      <name val="Calibri"/>
      <family val="2"/>
      <scheme val="minor"/>
    </font>
    <font>
      <sz val="26"/>
      <color theme="0"/>
      <name val="Calibri"/>
      <family val="2"/>
      <scheme val="minor"/>
    </font>
    <font>
      <b/>
      <u val="double"/>
      <sz val="11"/>
      <color theme="1"/>
      <name val="Calibri"/>
      <family val="2"/>
      <scheme val="minor"/>
    </font>
    <font>
      <b/>
      <sz val="10.6"/>
      <color theme="0"/>
      <name val="Calibri"/>
      <family val="2"/>
      <scheme val="minor"/>
    </font>
    <font>
      <b/>
      <sz val="26"/>
      <color theme="1"/>
      <name val="Calibri"/>
      <family val="2"/>
      <scheme val="minor"/>
    </font>
    <font>
      <b/>
      <u val="double"/>
      <sz val="11"/>
      <color theme="0"/>
      <name val="Calibri"/>
      <family val="2"/>
      <scheme val="minor"/>
    </font>
    <font>
      <b/>
      <sz val="19"/>
      <color theme="1"/>
      <name val="Calibri"/>
      <family val="2"/>
      <scheme val="minor"/>
    </font>
    <font>
      <sz val="28"/>
      <color theme="6"/>
      <name val="Calibri"/>
      <family val="2"/>
      <scheme val="minor"/>
    </font>
    <font>
      <b/>
      <sz val="16"/>
      <color theme="6"/>
      <name val="Calibri"/>
      <family val="2"/>
      <scheme val="minor"/>
    </font>
    <font>
      <b/>
      <sz val="15"/>
      <color theme="1"/>
      <name val="Calibri"/>
      <family val="2"/>
      <scheme val="minor"/>
    </font>
    <font>
      <b/>
      <sz val="10"/>
      <color theme="1"/>
      <name val="Calibri"/>
      <family val="2"/>
      <scheme val="minor"/>
    </font>
    <font>
      <b/>
      <u val="double"/>
      <sz val="18"/>
      <color rgb="FF0000FF"/>
      <name val="Calibri"/>
      <family val="2"/>
    </font>
    <font>
      <b/>
      <u val="double"/>
      <sz val="20"/>
      <color rgb="FF0000FF"/>
      <name val="Calibri"/>
      <family val="2"/>
    </font>
    <font>
      <b/>
      <u val="double"/>
      <sz val="16"/>
      <color rgb="FF0000FF"/>
      <name val="Calibri"/>
      <family val="2"/>
    </font>
    <font>
      <b/>
      <u val="double"/>
      <sz val="11"/>
      <color rgb="FF0000FF"/>
      <name val="Calibri"/>
      <family val="2"/>
    </font>
    <font>
      <b/>
      <u val="double"/>
      <sz val="11"/>
      <color rgb="FF0000FF"/>
      <name val="Calibri"/>
      <family val="2"/>
      <scheme val="minor"/>
    </font>
    <font>
      <b/>
      <u val="double"/>
      <sz val="14"/>
      <color rgb="FF0000FF"/>
      <name val="Calibri"/>
      <family val="2"/>
    </font>
    <font>
      <b/>
      <u val="double"/>
      <sz val="12"/>
      <color rgb="FF0000FF"/>
      <name val="Calibri"/>
      <family val="2"/>
    </font>
    <font>
      <sz val="11"/>
      <color rgb="FF0000FF"/>
      <name val="Calibri"/>
      <family val="2"/>
      <scheme val="minor"/>
    </font>
    <font>
      <sz val="26"/>
      <color theme="1"/>
      <name val="Calibri"/>
      <family val="2"/>
      <scheme val="minor"/>
    </font>
  </fonts>
  <fills count="23">
    <fill>
      <patternFill patternType="none"/>
    </fill>
    <fill>
      <patternFill patternType="gray125"/>
    </fill>
    <fill>
      <patternFill patternType="solid">
        <fgColor theme="9"/>
      </patternFill>
    </fill>
    <fill>
      <patternFill patternType="solid">
        <fgColor rgb="FF0275D8"/>
        <bgColor indexed="64"/>
      </patternFill>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0.249977111117893"/>
        <bgColor indexed="64"/>
      </patternFill>
    </fill>
    <fill>
      <patternFill patternType="solid">
        <fgColor theme="1"/>
        <bgColor theme="4"/>
      </patternFill>
    </fill>
    <fill>
      <patternFill patternType="solid">
        <fgColor theme="4"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CCFF99"/>
        <bgColor indexed="64"/>
      </patternFill>
    </fill>
    <fill>
      <patternFill patternType="solid">
        <fgColor theme="6" tint="0.59999389629810485"/>
        <bgColor indexed="64"/>
      </patternFill>
    </fill>
    <fill>
      <patternFill patternType="solid">
        <fgColor rgb="FF00FFFF"/>
        <bgColor indexed="64"/>
      </patternFill>
    </fill>
    <fill>
      <patternFill patternType="solid">
        <fgColor rgb="FFD4DAEC"/>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style="double">
        <color rgb="FF92D050"/>
      </bottom>
      <diagonal/>
    </border>
    <border>
      <left style="thick">
        <color theme="6"/>
      </left>
      <right style="thick">
        <color theme="6"/>
      </right>
      <top style="double">
        <color rgb="FF92D050"/>
      </top>
      <bottom style="double">
        <color rgb="FF92D050"/>
      </bottom>
      <diagonal/>
    </border>
    <border>
      <left style="thick">
        <color theme="6"/>
      </left>
      <right style="thick">
        <color theme="6"/>
      </right>
      <top style="double">
        <color rgb="FF92D050"/>
      </top>
      <bottom style="thick">
        <color theme="6"/>
      </bottom>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
      <left style="thick">
        <color theme="6"/>
      </left>
      <right style="thick">
        <color theme="6"/>
      </right>
      <top/>
      <bottom style="double">
        <color rgb="FF92D050"/>
      </bottom>
      <diagonal/>
    </border>
    <border>
      <left style="thick">
        <color theme="6"/>
      </left>
      <right style="double">
        <color rgb="FF92D050"/>
      </right>
      <top style="thick">
        <color theme="6"/>
      </top>
      <bottom style="double">
        <color rgb="FF92D050"/>
      </bottom>
      <diagonal/>
    </border>
    <border>
      <left style="double">
        <color rgb="FF92D050"/>
      </left>
      <right style="thick">
        <color theme="6"/>
      </right>
      <top style="thick">
        <color theme="6"/>
      </top>
      <bottom style="double">
        <color rgb="FF92D050"/>
      </bottom>
      <diagonal/>
    </border>
    <border>
      <left style="thick">
        <color theme="6"/>
      </left>
      <right style="double">
        <color rgb="FF92D050"/>
      </right>
      <top style="double">
        <color rgb="FF92D050"/>
      </top>
      <bottom style="thick">
        <color theme="6"/>
      </bottom>
      <diagonal/>
    </border>
    <border>
      <left style="double">
        <color rgb="FF92D050"/>
      </left>
      <right style="thick">
        <color theme="6"/>
      </right>
      <top style="double">
        <color rgb="FF92D050"/>
      </top>
      <bottom style="thick">
        <color theme="6"/>
      </bottom>
      <diagonal/>
    </border>
    <border>
      <left style="thick">
        <color theme="6"/>
      </left>
      <right style="double">
        <color rgb="FF92D050"/>
      </right>
      <top/>
      <bottom style="double">
        <color rgb="FF92D050"/>
      </bottom>
      <diagonal/>
    </border>
    <border>
      <left style="double">
        <color rgb="FF92D050"/>
      </left>
      <right style="thick">
        <color theme="6"/>
      </right>
      <top/>
      <bottom style="double">
        <color rgb="FF92D050"/>
      </bottom>
      <diagonal/>
    </border>
    <border>
      <left style="thick">
        <color theme="6"/>
      </left>
      <right style="double">
        <color rgb="FF92D050"/>
      </right>
      <top style="double">
        <color rgb="FF92D050"/>
      </top>
      <bottom style="double">
        <color rgb="FF92D050"/>
      </bottom>
      <diagonal/>
    </border>
    <border>
      <left style="double">
        <color rgb="FF92D050"/>
      </left>
      <right style="thick">
        <color theme="6"/>
      </right>
      <top style="double">
        <color rgb="FF92D050"/>
      </top>
      <bottom style="double">
        <color rgb="FF92D050"/>
      </bottom>
      <diagonal/>
    </border>
    <border>
      <left style="thick">
        <color theme="6"/>
      </left>
      <right/>
      <top style="double">
        <color rgb="FF92D050"/>
      </top>
      <bottom style="double">
        <color rgb="FF92D050"/>
      </bottom>
      <diagonal/>
    </border>
    <border>
      <left/>
      <right style="thick">
        <color theme="6"/>
      </right>
      <top style="double">
        <color rgb="FF92D050"/>
      </top>
      <bottom style="double">
        <color rgb="FF92D050"/>
      </bottom>
      <diagonal/>
    </border>
    <border>
      <left style="thick">
        <color theme="6"/>
      </left>
      <right/>
      <top style="double">
        <color rgb="FF92D050"/>
      </top>
      <bottom style="thick">
        <color theme="6"/>
      </bottom>
      <diagonal/>
    </border>
    <border>
      <left/>
      <right/>
      <top style="medium">
        <color theme="6"/>
      </top>
      <bottom style="medium">
        <color indexed="64"/>
      </bottom>
      <diagonal/>
    </border>
    <border>
      <left/>
      <right style="medium">
        <color auto="1"/>
      </right>
      <top style="medium">
        <color theme="6"/>
      </top>
      <bottom style="medium">
        <color auto="1"/>
      </bottom>
      <diagonal/>
    </border>
    <border>
      <left/>
      <right/>
      <top style="medium">
        <color indexed="64"/>
      </top>
      <bottom style="medium">
        <color indexed="64"/>
      </bottom>
      <diagonal/>
    </border>
    <border>
      <left style="medium">
        <color indexed="64"/>
      </left>
      <right/>
      <top style="medium">
        <color indexed="64"/>
      </top>
      <bottom style="medium">
        <color theme="6"/>
      </bottom>
      <diagonal/>
    </border>
    <border>
      <left/>
      <right/>
      <top style="medium">
        <color indexed="64"/>
      </top>
      <bottom style="medium">
        <color theme="6"/>
      </bottom>
      <diagonal/>
    </border>
    <border>
      <left/>
      <right style="medium">
        <color indexed="64"/>
      </right>
      <top style="medium">
        <color indexed="64"/>
      </top>
      <bottom style="medium">
        <color theme="6"/>
      </bottom>
      <diagonal/>
    </border>
    <border>
      <left/>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theme="6"/>
      </left>
      <right/>
      <top style="thick">
        <color theme="6"/>
      </top>
      <bottom style="double">
        <color rgb="FF92D050"/>
      </bottom>
      <diagonal/>
    </border>
    <border>
      <left/>
      <right/>
      <top style="thick">
        <color theme="6"/>
      </top>
      <bottom style="double">
        <color rgb="FF92D050"/>
      </bottom>
      <diagonal/>
    </border>
    <border>
      <left/>
      <right style="thick">
        <color theme="6"/>
      </right>
      <top style="thick">
        <color theme="6"/>
      </top>
      <bottom style="double">
        <color rgb="FF92D050"/>
      </bottom>
      <diagonal/>
    </border>
    <border>
      <left/>
      <right/>
      <top style="double">
        <color rgb="FF92D050"/>
      </top>
      <bottom style="double">
        <color rgb="FF92D050"/>
      </bottom>
      <diagonal/>
    </border>
    <border>
      <left/>
      <right/>
      <top style="double">
        <color rgb="FF92D050"/>
      </top>
      <bottom style="thick">
        <color theme="6"/>
      </bottom>
      <diagonal/>
    </border>
    <border>
      <left/>
      <right style="thick">
        <color theme="6"/>
      </right>
      <top style="double">
        <color rgb="FF92D050"/>
      </top>
      <bottom style="thick">
        <color theme="6"/>
      </bottom>
      <diagonal/>
    </border>
    <border>
      <left style="medium">
        <color indexed="64"/>
      </left>
      <right/>
      <top style="medium">
        <color theme="6"/>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theme="6"/>
      </bottom>
      <diagonal/>
    </border>
    <border>
      <left style="thick">
        <color theme="6"/>
      </left>
      <right/>
      <top/>
      <bottom/>
      <diagonal/>
    </border>
    <border>
      <left/>
      <right/>
      <top style="thick">
        <color theme="6"/>
      </top>
      <bottom/>
      <diagonal/>
    </border>
    <border>
      <left style="thick">
        <color rgb="FFFF0000"/>
      </left>
      <right/>
      <top style="thick">
        <color rgb="FFFF0000"/>
      </top>
      <bottom style="medium">
        <color indexed="64"/>
      </bottom>
      <diagonal/>
    </border>
    <border>
      <left/>
      <right/>
      <top style="thick">
        <color rgb="FFFF0000"/>
      </top>
      <bottom style="medium">
        <color indexed="64"/>
      </bottom>
      <diagonal/>
    </border>
    <border>
      <left style="thick">
        <color rgb="FFFF0000"/>
      </left>
      <right/>
      <top/>
      <bottom style="medium">
        <color indexed="64"/>
      </bottom>
      <diagonal/>
    </border>
    <border>
      <left style="thick">
        <color rgb="FFFF0000"/>
      </left>
      <right/>
      <top/>
      <bottom/>
      <diagonal/>
    </border>
    <border>
      <left style="thick">
        <color rgb="FFFF0000"/>
      </left>
      <right style="medium">
        <color indexed="64"/>
      </right>
      <top style="medium">
        <color indexed="64"/>
      </top>
      <bottom style="medium">
        <color indexed="64"/>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indexed="64"/>
      </right>
      <top/>
      <bottom style="medium">
        <color indexed="64"/>
      </bottom>
      <diagonal/>
    </border>
    <border>
      <left style="thick">
        <color rgb="FFFF0000"/>
      </left>
      <right style="medium">
        <color indexed="64"/>
      </right>
      <top/>
      <bottom style="thick">
        <color rgb="FFFF0000"/>
      </bottom>
      <diagonal/>
    </border>
    <border>
      <left/>
      <right/>
      <top/>
      <bottom style="thick">
        <color rgb="FFFF0000"/>
      </bottom>
      <diagonal/>
    </border>
    <border>
      <left style="medium">
        <color indexed="64"/>
      </left>
      <right style="medium">
        <color indexed="64"/>
      </right>
      <top/>
      <bottom style="thick">
        <color rgb="FFFF0000"/>
      </bottom>
      <diagonal/>
    </border>
    <border>
      <left/>
      <right/>
      <top style="thick">
        <color rgb="FF00B050"/>
      </top>
      <bottom/>
      <diagonal/>
    </border>
    <border>
      <left/>
      <right style="thick">
        <color rgb="FF00B050"/>
      </right>
      <top style="thick">
        <color rgb="FF00B050"/>
      </top>
      <bottom/>
      <diagonal/>
    </border>
    <border>
      <left/>
      <right style="thick">
        <color rgb="FF00B050"/>
      </right>
      <top/>
      <bottom/>
      <diagonal/>
    </border>
    <border>
      <left style="medium">
        <color indexed="64"/>
      </left>
      <right style="thick">
        <color rgb="FF00B050"/>
      </right>
      <top style="medium">
        <color indexed="64"/>
      </top>
      <bottom style="medium">
        <color indexed="64"/>
      </bottom>
      <diagonal/>
    </border>
    <border>
      <left style="medium">
        <color indexed="64"/>
      </left>
      <right style="thick">
        <color rgb="FF00B050"/>
      </right>
      <top style="medium">
        <color indexed="64"/>
      </top>
      <bottom/>
      <diagonal/>
    </border>
    <border>
      <left style="medium">
        <color indexed="64"/>
      </left>
      <right style="thick">
        <color rgb="FF00B050"/>
      </right>
      <top/>
      <bottom/>
      <diagonal/>
    </border>
    <border>
      <left style="medium">
        <color indexed="64"/>
      </left>
      <right style="thick">
        <color rgb="FF00B050"/>
      </right>
      <top/>
      <bottom style="medium">
        <color indexed="64"/>
      </bottom>
      <diagonal/>
    </border>
    <border>
      <left/>
      <right/>
      <top/>
      <bottom style="thick">
        <color rgb="FF00B050"/>
      </bottom>
      <diagonal/>
    </border>
    <border>
      <left style="medium">
        <color indexed="64"/>
      </left>
      <right style="medium">
        <color indexed="64"/>
      </right>
      <top/>
      <bottom style="thick">
        <color rgb="FF00B050"/>
      </bottom>
      <diagonal/>
    </border>
    <border>
      <left style="medium">
        <color indexed="64"/>
      </left>
      <right style="thick">
        <color rgb="FF00B050"/>
      </right>
      <top/>
      <bottom style="thick">
        <color rgb="FF00B050"/>
      </bottom>
      <diagonal/>
    </border>
    <border>
      <left style="double">
        <color rgb="FF00B050"/>
      </left>
      <right/>
      <top style="thick">
        <color rgb="FF00B050"/>
      </top>
      <bottom/>
      <diagonal/>
    </border>
    <border>
      <left style="double">
        <color rgb="FF00B050"/>
      </left>
      <right/>
      <top/>
      <bottom/>
      <diagonal/>
    </border>
    <border>
      <left style="double">
        <color rgb="FF00B050"/>
      </left>
      <right style="medium">
        <color indexed="64"/>
      </right>
      <top style="medium">
        <color indexed="64"/>
      </top>
      <bottom style="medium">
        <color indexed="64"/>
      </bottom>
      <diagonal/>
    </border>
    <border>
      <left style="double">
        <color rgb="FF00B050"/>
      </left>
      <right style="medium">
        <color indexed="64"/>
      </right>
      <top style="medium">
        <color indexed="64"/>
      </top>
      <bottom/>
      <diagonal/>
    </border>
    <border>
      <left style="double">
        <color rgb="FF00B050"/>
      </left>
      <right style="medium">
        <color indexed="64"/>
      </right>
      <top/>
      <bottom/>
      <diagonal/>
    </border>
    <border>
      <left style="double">
        <color rgb="FF00B050"/>
      </left>
      <right style="medium">
        <color indexed="64"/>
      </right>
      <top/>
      <bottom style="medium">
        <color indexed="64"/>
      </bottom>
      <diagonal/>
    </border>
    <border>
      <left style="double">
        <color rgb="FF00B050"/>
      </left>
      <right style="medium">
        <color indexed="64"/>
      </right>
      <top/>
      <bottom style="thick">
        <color rgb="FF00B050"/>
      </bottom>
      <diagonal/>
    </border>
    <border>
      <left/>
      <right style="double">
        <color rgb="FFFF0000"/>
      </right>
      <top style="thick">
        <color rgb="FFFF0000"/>
      </top>
      <bottom style="medium">
        <color indexed="64"/>
      </bottom>
      <diagonal/>
    </border>
    <border>
      <left/>
      <right style="double">
        <color rgb="FFFF0000"/>
      </right>
      <top/>
      <bottom style="medium">
        <color indexed="64"/>
      </bottom>
      <diagonal/>
    </border>
    <border>
      <left/>
      <right style="double">
        <color rgb="FFFF0000"/>
      </right>
      <top/>
      <bottom/>
      <diagonal/>
    </border>
    <border>
      <left style="medium">
        <color indexed="64"/>
      </left>
      <right style="double">
        <color rgb="FFFF0000"/>
      </right>
      <top style="medium">
        <color indexed="64"/>
      </top>
      <bottom style="medium">
        <color indexed="64"/>
      </bottom>
      <diagonal/>
    </border>
    <border>
      <left style="medium">
        <color indexed="64"/>
      </left>
      <right style="double">
        <color rgb="FFFF0000"/>
      </right>
      <top style="medium">
        <color indexed="64"/>
      </top>
      <bottom/>
      <diagonal/>
    </border>
    <border>
      <left style="medium">
        <color indexed="64"/>
      </left>
      <right style="double">
        <color rgb="FFFF0000"/>
      </right>
      <top/>
      <bottom/>
      <diagonal/>
    </border>
    <border>
      <left style="medium">
        <color indexed="64"/>
      </left>
      <right style="double">
        <color rgb="FFFF0000"/>
      </right>
      <top/>
      <bottom style="medium">
        <color indexed="64"/>
      </bottom>
      <diagonal/>
    </border>
    <border>
      <left style="medium">
        <color indexed="64"/>
      </left>
      <right style="double">
        <color rgb="FFFF0000"/>
      </right>
      <top/>
      <bottom style="thick">
        <color rgb="FFFF0000"/>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ck">
        <color theme="6"/>
      </left>
      <right style="thick">
        <color theme="6"/>
      </right>
      <top/>
      <bottom/>
      <diagonal/>
    </border>
  </borders>
  <cellStyleXfs count="5">
    <xf numFmtId="0" fontId="0"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0" fontId="4" fillId="2" borderId="0" applyNumberFormat="0" applyBorder="0" applyAlignment="0" applyProtection="0"/>
    <xf numFmtId="9" fontId="2" fillId="0" borderId="0" applyFont="0" applyFill="0" applyBorder="0" applyAlignment="0" applyProtection="0"/>
  </cellStyleXfs>
  <cellXfs count="1448">
    <xf numFmtId="0" fontId="0" fillId="0" borderId="0" xfId="0"/>
    <xf numFmtId="0" fontId="1" fillId="0" borderId="0" xfId="0" applyFont="1" applyBorder="1"/>
    <xf numFmtId="0" fontId="0" fillId="0" borderId="0" xfId="0" applyBorder="1"/>
    <xf numFmtId="0" fontId="6" fillId="0" borderId="0" xfId="0" applyFont="1" applyBorder="1"/>
    <xf numFmtId="0" fontId="0" fillId="0" borderId="0" xfId="0" applyBorder="1" applyAlignment="1">
      <alignment horizontal="left"/>
    </xf>
    <xf numFmtId="0" fontId="5" fillId="0" borderId="0" xfId="2" applyFont="1" applyBorder="1" applyAlignment="1" applyProtection="1">
      <alignment horizontal="left"/>
    </xf>
    <xf numFmtId="0" fontId="5" fillId="0" borderId="0" xfId="2" applyFont="1" applyBorder="1" applyAlignment="1" applyProtection="1"/>
    <xf numFmtId="0" fontId="7" fillId="0" borderId="0" xfId="0" applyFont="1" applyBorder="1"/>
    <xf numFmtId="0" fontId="8" fillId="0" borderId="0" xfId="0" applyFont="1"/>
    <xf numFmtId="165" fontId="9" fillId="3" borderId="0" xfId="0" applyNumberFormat="1" applyFont="1" applyFill="1" applyBorder="1" applyAlignment="1">
      <alignment horizontal="center"/>
    </xf>
    <xf numFmtId="0" fontId="7" fillId="0" borderId="0" xfId="0" applyFont="1" applyFill="1" applyBorder="1"/>
    <xf numFmtId="164" fontId="7" fillId="0" borderId="0" xfId="1" applyFont="1" applyBorder="1"/>
    <xf numFmtId="0" fontId="10" fillId="0" borderId="0" xfId="0" applyFont="1" applyBorder="1"/>
    <xf numFmtId="0" fontId="8" fillId="0" borderId="0" xfId="0" applyFont="1" applyBorder="1"/>
    <xf numFmtId="164" fontId="8" fillId="0" borderId="0" xfId="1" applyFont="1" applyBorder="1"/>
    <xf numFmtId="0" fontId="7" fillId="0" borderId="0" xfId="0" applyFont="1" applyFill="1" applyBorder="1" applyAlignment="1"/>
    <xf numFmtId="0" fontId="8" fillId="0" borderId="0" xfId="0" applyFont="1" applyFill="1" applyBorder="1"/>
    <xf numFmtId="0" fontId="12" fillId="0" borderId="0" xfId="0" applyFont="1" applyFill="1" applyBorder="1"/>
    <xf numFmtId="165" fontId="9" fillId="3" borderId="0" xfId="1" applyNumberFormat="1" applyFont="1" applyFill="1" applyBorder="1"/>
    <xf numFmtId="165" fontId="12" fillId="0" borderId="0" xfId="1" applyNumberFormat="1" applyFont="1" applyFill="1" applyBorder="1"/>
    <xf numFmtId="43" fontId="8" fillId="0" borderId="0" xfId="1" applyNumberFormat="1" applyFont="1" applyBorder="1"/>
    <xf numFmtId="170" fontId="8" fillId="0" borderId="1" xfId="1" applyNumberFormat="1" applyFont="1" applyBorder="1"/>
    <xf numFmtId="9" fontId="8" fillId="0" borderId="1" xfId="4" applyFont="1" applyBorder="1"/>
    <xf numFmtId="0" fontId="20" fillId="0" borderId="0" xfId="0" applyFont="1" applyBorder="1" applyAlignment="1">
      <alignment horizontal="center"/>
    </xf>
    <xf numFmtId="9" fontId="8" fillId="0" borderId="0" xfId="4" applyFont="1" applyBorder="1" applyAlignment="1">
      <alignment horizontal="right" wrapText="1"/>
    </xf>
    <xf numFmtId="166" fontId="8" fillId="0" borderId="0" xfId="1" applyNumberFormat="1" applyFont="1" applyAlignment="1">
      <alignment wrapText="1"/>
    </xf>
    <xf numFmtId="173" fontId="8" fillId="0" borderId="0" xfId="4" applyNumberFormat="1" applyFont="1"/>
    <xf numFmtId="0" fontId="23" fillId="0" borderId="0" xfId="0" applyFont="1"/>
    <xf numFmtId="9" fontId="8" fillId="0" borderId="1" xfId="0" applyNumberFormat="1" applyFont="1" applyBorder="1"/>
    <xf numFmtId="9" fontId="10" fillId="0" borderId="1" xfId="4" applyFont="1" applyBorder="1"/>
    <xf numFmtId="170" fontId="7" fillId="0" borderId="1" xfId="1" applyNumberFormat="1" applyFont="1" applyBorder="1"/>
    <xf numFmtId="170" fontId="10" fillId="0" borderId="1" xfId="0" applyNumberFormat="1" applyFont="1" applyBorder="1"/>
    <xf numFmtId="0" fontId="9" fillId="3" borderId="32" xfId="0" applyFont="1" applyFill="1" applyBorder="1"/>
    <xf numFmtId="165" fontId="9" fillId="3" borderId="29" xfId="0" applyNumberFormat="1" applyFont="1" applyFill="1" applyBorder="1" applyAlignment="1">
      <alignment horizontal="center"/>
    </xf>
    <xf numFmtId="165" fontId="9" fillId="3" borderId="2" xfId="0" applyNumberFormat="1" applyFont="1" applyFill="1" applyBorder="1" applyAlignment="1">
      <alignment horizontal="center"/>
    </xf>
    <xf numFmtId="0" fontId="7" fillId="0" borderId="6" xfId="0" applyFont="1" applyBorder="1"/>
    <xf numFmtId="170" fontId="7" fillId="0" borderId="4" xfId="1" applyNumberFormat="1" applyFont="1" applyBorder="1"/>
    <xf numFmtId="0" fontId="10" fillId="0" borderId="6" xfId="0" applyFont="1" applyBorder="1"/>
    <xf numFmtId="164" fontId="10" fillId="0" borderId="1" xfId="1" applyFont="1" applyBorder="1"/>
    <xf numFmtId="9" fontId="10" fillId="0" borderId="4" xfId="4" applyFont="1" applyBorder="1"/>
    <xf numFmtId="0" fontId="8" fillId="0" borderId="6" xfId="0" applyFont="1" applyBorder="1"/>
    <xf numFmtId="170" fontId="8" fillId="0" borderId="4" xfId="1" applyNumberFormat="1" applyFont="1" applyBorder="1"/>
    <xf numFmtId="0" fontId="10" fillId="0" borderId="33" xfId="0" applyFont="1" applyFill="1" applyBorder="1"/>
    <xf numFmtId="9" fontId="10" fillId="0" borderId="34" xfId="4" applyFont="1" applyBorder="1"/>
    <xf numFmtId="9" fontId="10" fillId="0" borderId="35" xfId="4" applyFont="1" applyBorder="1"/>
    <xf numFmtId="0" fontId="26" fillId="0" borderId="0" xfId="0" applyFont="1"/>
    <xf numFmtId="0" fontId="23" fillId="0" borderId="0" xfId="0" applyFont="1" applyAlignment="1">
      <alignment horizontal="left"/>
    </xf>
    <xf numFmtId="0" fontId="16" fillId="0" borderId="0" xfId="0" applyFont="1" applyAlignment="1">
      <alignment horizontal="left"/>
    </xf>
    <xf numFmtId="9" fontId="8" fillId="0" borderId="24" xfId="4" applyFont="1" applyBorder="1"/>
    <xf numFmtId="9" fontId="8" fillId="0" borderId="24" xfId="0" applyNumberFormat="1" applyFont="1" applyBorder="1"/>
    <xf numFmtId="9" fontId="8" fillId="0" borderId="11" xfId="4" applyFont="1" applyBorder="1"/>
    <xf numFmtId="9" fontId="8" fillId="0" borderId="12" xfId="4" applyFont="1" applyBorder="1"/>
    <xf numFmtId="0" fontId="27" fillId="0" borderId="0" xfId="0" applyFont="1" applyBorder="1"/>
    <xf numFmtId="0" fontId="28" fillId="0" borderId="0" xfId="0" applyFont="1" applyBorder="1"/>
    <xf numFmtId="0" fontId="28" fillId="0" borderId="0" xfId="0" applyFont="1" applyFill="1" applyBorder="1"/>
    <xf numFmtId="170" fontId="28" fillId="0" borderId="1" xfId="1" applyNumberFormat="1" applyFont="1" applyBorder="1" applyAlignment="1">
      <alignment horizontal="center"/>
    </xf>
    <xf numFmtId="170" fontId="27" fillId="0" borderId="1" xfId="1" applyNumberFormat="1" applyFont="1" applyBorder="1" applyAlignment="1">
      <alignment horizontal="center"/>
    </xf>
    <xf numFmtId="170" fontId="28" fillId="0" borderId="1" xfId="1" applyNumberFormat="1" applyFont="1" applyBorder="1"/>
    <xf numFmtId="170" fontId="28" fillId="0" borderId="0" xfId="1" applyNumberFormat="1" applyFont="1" applyBorder="1"/>
    <xf numFmtId="170" fontId="28" fillId="0" borderId="24" xfId="1" applyNumberFormat="1" applyFont="1" applyBorder="1" applyAlignment="1">
      <alignment horizontal="center"/>
    </xf>
    <xf numFmtId="170" fontId="27" fillId="0" borderId="24" xfId="1" applyNumberFormat="1" applyFont="1" applyBorder="1" applyAlignment="1">
      <alignment horizontal="center"/>
    </xf>
    <xf numFmtId="170" fontId="28" fillId="0" borderId="24" xfId="1" applyNumberFormat="1" applyFont="1" applyBorder="1"/>
    <xf numFmtId="170" fontId="7" fillId="0" borderId="22" xfId="1" applyNumberFormat="1" applyFont="1" applyBorder="1"/>
    <xf numFmtId="170" fontId="10" fillId="0" borderId="22" xfId="1" applyNumberFormat="1" applyFont="1" applyBorder="1"/>
    <xf numFmtId="170" fontId="22" fillId="0" borderId="22" xfId="1" applyNumberFormat="1" applyFont="1" applyBorder="1"/>
    <xf numFmtId="170" fontId="8" fillId="0" borderId="22" xfId="1" applyNumberFormat="1" applyFont="1" applyBorder="1"/>
    <xf numFmtId="9" fontId="10" fillId="0" borderId="11" xfId="4" applyFont="1" applyBorder="1"/>
    <xf numFmtId="170" fontId="8" fillId="0" borderId="27" xfId="1" applyNumberFormat="1" applyFont="1" applyBorder="1"/>
    <xf numFmtId="170" fontId="10" fillId="0" borderId="4" xfId="0" applyNumberFormat="1" applyFont="1" applyBorder="1" applyAlignment="1">
      <alignment horizontal="center"/>
    </xf>
    <xf numFmtId="170" fontId="22" fillId="0" borderId="1" xfId="1" applyNumberFormat="1" applyFont="1" applyBorder="1"/>
    <xf numFmtId="0" fontId="22" fillId="0" borderId="0" xfId="0" applyFont="1" applyBorder="1"/>
    <xf numFmtId="9" fontId="10" fillId="0" borderId="5" xfId="4" applyFont="1" applyBorder="1" applyAlignment="1">
      <alignment horizontal="center"/>
    </xf>
    <xf numFmtId="0" fontId="33" fillId="0" borderId="0" xfId="2" applyFont="1" applyBorder="1" applyAlignment="1" applyProtection="1">
      <alignment vertical="center"/>
    </xf>
    <xf numFmtId="0" fontId="0" fillId="0" borderId="0" xfId="0" applyAlignment="1">
      <alignment horizontal="center"/>
    </xf>
    <xf numFmtId="0" fontId="35" fillId="0" borderId="0" xfId="0" applyFont="1" applyAlignment="1">
      <alignment vertical="center"/>
    </xf>
    <xf numFmtId="0" fontId="0" fillId="0" borderId="0" xfId="0" applyAlignment="1">
      <alignment vertical="top"/>
    </xf>
    <xf numFmtId="0" fontId="10" fillId="0" borderId="0" xfId="0" applyFont="1" applyAlignment="1">
      <alignment wrapText="1"/>
    </xf>
    <xf numFmtId="0" fontId="0" fillId="11" borderId="45" xfId="0" applyFont="1" applyFill="1" applyBorder="1" applyAlignment="1">
      <alignment wrapText="1"/>
    </xf>
    <xf numFmtId="0" fontId="0" fillId="11" borderId="45" xfId="0" applyFont="1" applyFill="1" applyBorder="1" applyAlignment="1">
      <alignment vertical="center" wrapText="1"/>
    </xf>
    <xf numFmtId="0" fontId="0" fillId="11" borderId="46" xfId="0" applyFont="1" applyFill="1" applyBorder="1" applyAlignment="1">
      <alignment wrapText="1"/>
    </xf>
    <xf numFmtId="0" fontId="4" fillId="4" borderId="50" xfId="0" applyFont="1" applyFill="1" applyBorder="1"/>
    <xf numFmtId="0" fontId="4" fillId="4" borderId="44" xfId="0" applyFont="1" applyFill="1" applyBorder="1" applyAlignment="1">
      <alignment horizontal="right"/>
    </xf>
    <xf numFmtId="0" fontId="0" fillId="0" borderId="45" xfId="0" applyBorder="1"/>
    <xf numFmtId="0" fontId="0" fillId="0" borderId="45" xfId="0" applyBorder="1" applyAlignment="1">
      <alignment horizontal="right"/>
    </xf>
    <xf numFmtId="1" fontId="0" fillId="0" borderId="45" xfId="0" applyNumberFormat="1" applyBorder="1"/>
    <xf numFmtId="0" fontId="0" fillId="0" borderId="46" xfId="0" applyBorder="1"/>
    <xf numFmtId="1" fontId="0" fillId="0" borderId="46" xfId="0" applyNumberFormat="1" applyBorder="1"/>
    <xf numFmtId="0" fontId="0" fillId="0" borderId="57" xfId="0" applyBorder="1"/>
    <xf numFmtId="10" fontId="0" fillId="0" borderId="58" xfId="0" applyNumberFormat="1" applyBorder="1"/>
    <xf numFmtId="2" fontId="0" fillId="0" borderId="58" xfId="0" applyNumberFormat="1" applyBorder="1"/>
    <xf numFmtId="0" fontId="0" fillId="0" borderId="53" xfId="0" applyBorder="1"/>
    <xf numFmtId="2" fontId="0" fillId="0" borderId="54" xfId="0" applyNumberFormat="1" applyBorder="1"/>
    <xf numFmtId="0" fontId="7" fillId="0" borderId="23" xfId="0" applyFont="1" applyBorder="1" applyAlignment="1">
      <alignment vertical="center"/>
    </xf>
    <xf numFmtId="0" fontId="10" fillId="0" borderId="23" xfId="0" applyFont="1" applyBorder="1" applyAlignment="1">
      <alignment vertical="center"/>
    </xf>
    <xf numFmtId="0" fontId="8" fillId="0" borderId="23" xfId="0" applyFont="1" applyBorder="1" applyAlignment="1">
      <alignment vertical="center"/>
    </xf>
    <xf numFmtId="0" fontId="10" fillId="0" borderId="23" xfId="0" applyFont="1" applyFill="1" applyBorder="1" applyAlignment="1">
      <alignment vertical="center"/>
    </xf>
    <xf numFmtId="170" fontId="0" fillId="0" borderId="1" xfId="0" applyNumberFormat="1" applyBorder="1" applyAlignment="1">
      <alignment horizontal="center"/>
    </xf>
    <xf numFmtId="165" fontId="0" fillId="0" borderId="1" xfId="0" applyNumberFormat="1" applyBorder="1" applyAlignment="1">
      <alignment horizontal="center"/>
    </xf>
    <xf numFmtId="0" fontId="0" fillId="0" borderId="0" xfId="0" applyBorder="1" applyAlignment="1">
      <alignment horizontal="center"/>
    </xf>
    <xf numFmtId="0" fontId="0" fillId="5" borderId="0" xfId="0" applyFill="1" applyBorder="1"/>
    <xf numFmtId="0" fontId="0" fillId="5" borderId="0" xfId="0" applyFill="1" applyBorder="1" applyAlignment="1">
      <alignment horizontal="center"/>
    </xf>
    <xf numFmtId="170" fontId="0" fillId="0" borderId="1" xfId="0" applyNumberFormat="1" applyBorder="1"/>
    <xf numFmtId="165" fontId="0" fillId="0" borderId="1" xfId="0" applyNumberFormat="1" applyBorder="1"/>
    <xf numFmtId="9" fontId="8" fillId="0" borderId="23" xfId="4" applyFont="1" applyBorder="1" applyAlignment="1">
      <alignment vertical="center"/>
    </xf>
    <xf numFmtId="0" fontId="0" fillId="11" borderId="50" xfId="0" applyFill="1" applyBorder="1"/>
    <xf numFmtId="0" fontId="34" fillId="4" borderId="43" xfId="0" applyFont="1" applyFill="1" applyBorder="1" applyAlignment="1">
      <alignment horizontal="center" vertical="center"/>
    </xf>
    <xf numFmtId="0" fontId="34" fillId="4" borderId="43" xfId="0" applyFont="1" applyFill="1" applyBorder="1" applyAlignment="1">
      <alignment horizontal="center"/>
    </xf>
    <xf numFmtId="9" fontId="7" fillId="6" borderId="23" xfId="4" applyFont="1" applyFill="1" applyBorder="1" applyAlignment="1">
      <alignment vertical="center"/>
    </xf>
    <xf numFmtId="9" fontId="7" fillId="6" borderId="1" xfId="0" applyNumberFormat="1" applyFont="1" applyFill="1" applyBorder="1"/>
    <xf numFmtId="9" fontId="7" fillId="6" borderId="24" xfId="0" applyNumberFormat="1" applyFont="1" applyFill="1" applyBorder="1"/>
    <xf numFmtId="0" fontId="10" fillId="6" borderId="23" xfId="0" applyFont="1" applyFill="1" applyBorder="1" applyAlignment="1">
      <alignment vertical="center"/>
    </xf>
    <xf numFmtId="9" fontId="19" fillId="12" borderId="1" xfId="0" applyNumberFormat="1" applyFont="1" applyFill="1" applyBorder="1" applyAlignment="1">
      <alignment vertical="center"/>
    </xf>
    <xf numFmtId="166" fontId="7" fillId="7" borderId="1" xfId="1" applyNumberFormat="1" applyFont="1" applyFill="1" applyBorder="1" applyAlignment="1">
      <alignment vertical="center"/>
    </xf>
    <xf numFmtId="166" fontId="17" fillId="7" borderId="1" xfId="1" applyNumberFormat="1" applyFont="1" applyFill="1" applyBorder="1" applyAlignment="1">
      <alignment vertical="center"/>
    </xf>
    <xf numFmtId="0" fontId="8" fillId="0" borderId="0" xfId="0" applyFont="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xf>
    <xf numFmtId="166" fontId="8" fillId="0" borderId="1" xfId="1" applyNumberFormat="1" applyFont="1" applyBorder="1" applyAlignment="1">
      <alignment vertical="center"/>
    </xf>
    <xf numFmtId="0" fontId="9" fillId="4" borderId="1" xfId="0" applyFont="1" applyFill="1" applyBorder="1" applyAlignment="1">
      <alignment vertical="center"/>
    </xf>
    <xf numFmtId="166" fontId="8" fillId="0" borderId="1" xfId="1" applyNumberFormat="1" applyFont="1" applyBorder="1" applyAlignment="1">
      <alignment horizontal="right" vertical="center"/>
    </xf>
    <xf numFmtId="0" fontId="8" fillId="0" borderId="0" xfId="0" applyFont="1" applyBorder="1" applyAlignment="1">
      <alignment vertical="center"/>
    </xf>
    <xf numFmtId="0" fontId="10" fillId="0" borderId="1" xfId="0" applyFont="1" applyBorder="1" applyAlignment="1">
      <alignment vertical="center"/>
    </xf>
    <xf numFmtId="9" fontId="10" fillId="0" borderId="1" xfId="4" applyFont="1" applyBorder="1" applyAlignment="1">
      <alignment vertical="center"/>
    </xf>
    <xf numFmtId="9" fontId="8" fillId="0" borderId="1" xfId="4" applyFont="1" applyBorder="1" applyAlignment="1">
      <alignment vertical="center"/>
    </xf>
    <xf numFmtId="0" fontId="17" fillId="13" borderId="1" xfId="0" applyFont="1" applyFill="1" applyBorder="1" applyAlignment="1">
      <alignment horizontal="center" vertical="center"/>
    </xf>
    <xf numFmtId="0" fontId="17" fillId="13" borderId="1" xfId="0" applyFont="1" applyFill="1" applyBorder="1" applyAlignment="1">
      <alignment vertical="center"/>
    </xf>
    <xf numFmtId="0" fontId="17" fillId="13" borderId="1" xfId="0" applyFont="1" applyFill="1" applyBorder="1" applyAlignment="1">
      <alignment horizontal="right" vertical="center"/>
    </xf>
    <xf numFmtId="0" fontId="7" fillId="0" borderId="1" xfId="0" applyFont="1" applyBorder="1" applyAlignment="1">
      <alignment vertical="center"/>
    </xf>
    <xf numFmtId="49" fontId="12" fillId="0" borderId="0" xfId="0" applyNumberFormat="1" applyFont="1" applyAlignment="1">
      <alignment horizontal="center" vertical="center"/>
    </xf>
    <xf numFmtId="9" fontId="8" fillId="0" borderId="0" xfId="0" applyNumberFormat="1" applyFont="1" applyBorder="1" applyAlignment="1">
      <alignment horizontal="center" vertical="center"/>
    </xf>
    <xf numFmtId="0" fontId="21" fillId="0" borderId="0" xfId="0" applyFont="1" applyAlignment="1">
      <alignment vertical="center"/>
    </xf>
    <xf numFmtId="9" fontId="21" fillId="0" borderId="0" xfId="0" applyNumberFormat="1" applyFont="1" applyAlignment="1">
      <alignment horizontal="center" vertical="center"/>
    </xf>
    <xf numFmtId="0" fontId="12" fillId="0" borderId="0" xfId="0" applyFont="1" applyAlignment="1">
      <alignment vertical="center"/>
    </xf>
    <xf numFmtId="0" fontId="12" fillId="0" borderId="23" xfId="0" applyFont="1" applyBorder="1" applyAlignment="1">
      <alignment horizontal="center" vertical="center"/>
    </xf>
    <xf numFmtId="38" fontId="12" fillId="0" borderId="1" xfId="0" applyNumberFormat="1" applyFont="1" applyBorder="1" applyAlignment="1">
      <alignment horizontal="center" vertical="center"/>
    </xf>
    <xf numFmtId="0" fontId="12" fillId="0" borderId="10" xfId="0" applyFont="1" applyBorder="1" applyAlignment="1">
      <alignment horizontal="center" vertical="center"/>
    </xf>
    <xf numFmtId="38" fontId="12" fillId="0" borderId="11" xfId="0" applyNumberFormat="1" applyFont="1" applyBorder="1" applyAlignment="1">
      <alignment horizontal="center" vertical="center"/>
    </xf>
    <xf numFmtId="0" fontId="12" fillId="0" borderId="0" xfId="0" applyFont="1" applyBorder="1" applyAlignment="1">
      <alignment horizontal="center" vertical="center"/>
    </xf>
    <xf numFmtId="172" fontId="12" fillId="0" borderId="0" xfId="0" applyNumberFormat="1" applyFont="1" applyBorder="1" applyAlignment="1">
      <alignment horizontal="center" vertical="center"/>
    </xf>
    <xf numFmtId="9" fontId="12" fillId="0" borderId="0" xfId="0" applyNumberFormat="1" applyFont="1" applyBorder="1" applyAlignment="1">
      <alignment horizontal="center" vertical="center"/>
    </xf>
    <xf numFmtId="6" fontId="12" fillId="0" borderId="0" xfId="0" applyNumberFormat="1" applyFont="1" applyBorder="1" applyAlignment="1">
      <alignment horizontal="center" vertical="center"/>
    </xf>
    <xf numFmtId="0" fontId="12" fillId="0" borderId="23" xfId="0" applyFont="1" applyBorder="1" applyAlignment="1">
      <alignment horizontal="left" vertical="center"/>
    </xf>
    <xf numFmtId="0" fontId="12" fillId="0" borderId="23" xfId="0" quotePrefix="1" applyFont="1" applyBorder="1" applyAlignment="1">
      <alignment horizontal="left" vertical="center"/>
    </xf>
    <xf numFmtId="166" fontId="7" fillId="6" borderId="1" xfId="1" applyNumberFormat="1" applyFont="1" applyFill="1" applyBorder="1" applyAlignment="1">
      <alignment horizontal="right" vertical="center"/>
    </xf>
    <xf numFmtId="166" fontId="7" fillId="6" borderId="1" xfId="1" applyNumberFormat="1" applyFont="1" applyFill="1" applyBorder="1" applyAlignment="1">
      <alignment vertical="center"/>
    </xf>
    <xf numFmtId="9" fontId="7" fillId="6" borderId="1" xfId="0" applyNumberFormat="1" applyFont="1" applyFill="1" applyBorder="1" applyAlignment="1">
      <alignment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8" fillId="0" borderId="31" xfId="0" applyFont="1" applyBorder="1" applyAlignment="1">
      <alignment vertical="center" wrapText="1"/>
    </xf>
    <xf numFmtId="170" fontId="8" fillId="0" borderId="1" xfId="1" applyNumberFormat="1" applyFont="1" applyBorder="1" applyAlignment="1">
      <alignment horizontal="right" vertical="center" wrapText="1"/>
    </xf>
    <xf numFmtId="9" fontId="8" fillId="0" borderId="1" xfId="4" applyNumberFormat="1" applyFont="1" applyFill="1" applyBorder="1" applyAlignment="1">
      <alignment horizontal="center" vertical="center"/>
    </xf>
    <xf numFmtId="9" fontId="8" fillId="0" borderId="24" xfId="4" applyNumberFormat="1" applyFont="1" applyFill="1" applyBorder="1" applyAlignment="1">
      <alignment horizontal="center" vertical="center"/>
    </xf>
    <xf numFmtId="0" fontId="10" fillId="0" borderId="23" xfId="0" applyFont="1" applyBorder="1" applyAlignment="1">
      <alignment vertical="center" wrapText="1"/>
    </xf>
    <xf numFmtId="9" fontId="10" fillId="0" borderId="1" xfId="4" applyFont="1" applyBorder="1" applyAlignment="1">
      <alignment horizontal="right" vertical="center" wrapText="1"/>
    </xf>
    <xf numFmtId="9" fontId="10" fillId="0" borderId="1" xfId="4" applyNumberFormat="1" applyFont="1" applyFill="1" applyBorder="1" applyAlignment="1">
      <alignment horizontal="center" vertical="center"/>
    </xf>
    <xf numFmtId="9" fontId="10" fillId="0" borderId="24" xfId="4" applyNumberFormat="1" applyFont="1" applyFill="1" applyBorder="1" applyAlignment="1">
      <alignment horizontal="center" vertical="center"/>
    </xf>
    <xf numFmtId="0" fontId="10" fillId="0" borderId="10" xfId="0" applyFont="1" applyBorder="1" applyAlignment="1">
      <alignment vertical="center" wrapText="1"/>
    </xf>
    <xf numFmtId="9" fontId="10" fillId="0" borderId="11" xfId="4" applyFont="1" applyBorder="1" applyAlignment="1">
      <alignment horizontal="right" vertical="center" wrapText="1"/>
    </xf>
    <xf numFmtId="9" fontId="10" fillId="0" borderId="11" xfId="4" applyNumberFormat="1" applyFont="1" applyFill="1" applyBorder="1" applyAlignment="1">
      <alignment horizontal="center" vertical="center"/>
    </xf>
    <xf numFmtId="9" fontId="10" fillId="0" borderId="12" xfId="4" applyNumberFormat="1" applyFont="1" applyFill="1" applyBorder="1" applyAlignment="1">
      <alignment horizontal="center" vertical="center"/>
    </xf>
    <xf numFmtId="0" fontId="7" fillId="0" borderId="0" xfId="0" applyFont="1" applyAlignment="1">
      <alignment vertical="center"/>
    </xf>
    <xf numFmtId="0" fontId="8" fillId="0" borderId="7" xfId="0" applyFont="1" applyBorder="1" applyAlignment="1">
      <alignment vertical="center"/>
    </xf>
    <xf numFmtId="166" fontId="8" fillId="5" borderId="24" xfId="1" applyNumberFormat="1" applyFont="1" applyFill="1" applyBorder="1" applyAlignment="1">
      <alignment vertical="center"/>
    </xf>
    <xf numFmtId="167" fontId="8" fillId="5" borderId="24" xfId="1" applyNumberFormat="1" applyFont="1" applyFill="1" applyBorder="1" applyAlignment="1">
      <alignment vertical="center"/>
    </xf>
    <xf numFmtId="9" fontId="8" fillId="5" borderId="24" xfId="4" applyFont="1" applyFill="1" applyBorder="1" applyAlignment="1">
      <alignment vertical="center"/>
    </xf>
    <xf numFmtId="166" fontId="8" fillId="10" borderId="24" xfId="1" applyNumberFormat="1" applyFont="1" applyFill="1" applyBorder="1" applyAlignment="1">
      <alignment vertical="center"/>
    </xf>
    <xf numFmtId="170" fontId="7" fillId="5" borderId="0" xfId="1" applyNumberFormat="1" applyFont="1" applyFill="1" applyBorder="1" applyAlignment="1">
      <alignment horizontal="right"/>
    </xf>
    <xf numFmtId="0" fontId="8" fillId="5" borderId="0" xfId="0" applyFont="1" applyFill="1" applyBorder="1" applyAlignment="1">
      <alignment horizontal="right"/>
    </xf>
    <xf numFmtId="0" fontId="26" fillId="5" borderId="0" xfId="0" applyFont="1" applyFill="1"/>
    <xf numFmtId="0" fontId="1" fillId="0" borderId="20" xfId="0" applyFont="1" applyBorder="1"/>
    <xf numFmtId="0" fontId="1" fillId="0" borderId="13" xfId="0" applyFont="1" applyBorder="1"/>
    <xf numFmtId="170" fontId="26" fillId="0" borderId="3" xfId="1" applyNumberFormat="1" applyFont="1" applyBorder="1"/>
    <xf numFmtId="3" fontId="31" fillId="5" borderId="0" xfId="0" applyNumberFormat="1" applyFont="1" applyFill="1"/>
    <xf numFmtId="0" fontId="0" fillId="5" borderId="0" xfId="0" applyFill="1"/>
    <xf numFmtId="0" fontId="0" fillId="0" borderId="21" xfId="0" applyBorder="1"/>
    <xf numFmtId="0" fontId="41" fillId="0" borderId="0" xfId="0" applyFont="1" applyBorder="1"/>
    <xf numFmtId="0" fontId="37" fillId="4" borderId="1" xfId="0" applyFont="1" applyFill="1" applyBorder="1" applyAlignment="1">
      <alignment horizontal="center"/>
    </xf>
    <xf numFmtId="0" fontId="44" fillId="0" borderId="0" xfId="0" applyFont="1" applyAlignment="1"/>
    <xf numFmtId="165" fontId="9" fillId="5" borderId="0" xfId="1" applyNumberFormat="1" applyFont="1" applyFill="1" applyBorder="1" applyAlignment="1">
      <alignment vertical="center"/>
    </xf>
    <xf numFmtId="165" fontId="9" fillId="4" borderId="1" xfId="0" applyNumberFormat="1" applyFont="1" applyFill="1" applyBorder="1" applyAlignment="1">
      <alignment horizontal="center"/>
    </xf>
    <xf numFmtId="0" fontId="4" fillId="5" borderId="0" xfId="0" applyFont="1" applyFill="1" applyBorder="1" applyAlignment="1">
      <alignment horizontal="center"/>
    </xf>
    <xf numFmtId="0" fontId="41" fillId="5" borderId="0" xfId="0" applyFont="1" applyFill="1" applyBorder="1" applyAlignment="1">
      <alignment horizontal="center"/>
    </xf>
    <xf numFmtId="0" fontId="0" fillId="0" borderId="22" xfId="0" applyBorder="1"/>
    <xf numFmtId="2" fontId="0" fillId="0" borderId="1" xfId="0" applyNumberFormat="1" applyBorder="1" applyAlignment="1">
      <alignment horizontal="center"/>
    </xf>
    <xf numFmtId="2" fontId="0" fillId="0" borderId="0" xfId="0" applyNumberFormat="1"/>
    <xf numFmtId="1" fontId="0" fillId="0" borderId="1" xfId="0" applyNumberFormat="1" applyBorder="1" applyAlignment="1">
      <alignment horizontal="center"/>
    </xf>
    <xf numFmtId="0" fontId="0" fillId="0" borderId="1" xfId="0" applyFont="1" applyBorder="1" applyAlignment="1">
      <alignment horizontal="center"/>
    </xf>
    <xf numFmtId="165" fontId="9" fillId="4" borderId="30" xfId="0" applyNumberFormat="1" applyFont="1" applyFill="1" applyBorder="1" applyAlignment="1">
      <alignment horizontal="center"/>
    </xf>
    <xf numFmtId="165" fontId="37" fillId="15" borderId="1" xfId="0" applyNumberFormat="1" applyFont="1" applyFill="1" applyBorder="1" applyAlignment="1">
      <alignment horizontal="center"/>
    </xf>
    <xf numFmtId="0" fontId="46" fillId="5" borderId="1" xfId="0" applyFont="1" applyFill="1" applyBorder="1" applyAlignment="1">
      <alignment horizontal="center"/>
    </xf>
    <xf numFmtId="0" fontId="47" fillId="5" borderId="0" xfId="0" applyFont="1" applyFill="1" applyBorder="1" applyAlignment="1">
      <alignment horizontal="center"/>
    </xf>
    <xf numFmtId="10" fontId="46" fillId="5" borderId="0" xfId="0" applyNumberFormat="1" applyFont="1" applyFill="1" applyBorder="1" applyAlignment="1">
      <alignment horizontal="center"/>
    </xf>
    <xf numFmtId="165" fontId="9" fillId="4" borderId="28" xfId="1" applyNumberFormat="1" applyFont="1" applyFill="1" applyBorder="1" applyAlignment="1">
      <alignment vertical="center"/>
    </xf>
    <xf numFmtId="165" fontId="9" fillId="4" borderId="29" xfId="0" applyNumberFormat="1" applyFont="1" applyFill="1" applyBorder="1" applyAlignment="1">
      <alignment horizontal="center"/>
    </xf>
    <xf numFmtId="0" fontId="9" fillId="4" borderId="23" xfId="0" applyFont="1" applyFill="1" applyBorder="1" applyAlignment="1">
      <alignment vertical="center"/>
    </xf>
    <xf numFmtId="165" fontId="9" fillId="4" borderId="24" xfId="0" applyNumberFormat="1" applyFont="1" applyFill="1" applyBorder="1" applyAlignment="1">
      <alignment horizontal="center"/>
    </xf>
    <xf numFmtId="165" fontId="29" fillId="4" borderId="29" xfId="0" applyNumberFormat="1" applyFont="1" applyFill="1" applyBorder="1" applyAlignment="1">
      <alignment horizontal="center"/>
    </xf>
    <xf numFmtId="165" fontId="29" fillId="4" borderId="30" xfId="0" applyNumberFormat="1" applyFont="1" applyFill="1" applyBorder="1" applyAlignment="1">
      <alignment horizontal="center"/>
    </xf>
    <xf numFmtId="165" fontId="24" fillId="4" borderId="8" xfId="0" applyNumberFormat="1" applyFont="1" applyFill="1" applyBorder="1" applyAlignment="1">
      <alignment horizontal="center"/>
    </xf>
    <xf numFmtId="0" fontId="45" fillId="5" borderId="0" xfId="0" applyFont="1" applyFill="1" applyBorder="1" applyAlignment="1">
      <alignment horizontal="center"/>
    </xf>
    <xf numFmtId="0" fontId="0" fillId="0" borderId="78" xfId="0" applyBorder="1"/>
    <xf numFmtId="0" fontId="37" fillId="15" borderId="28" xfId="0" applyFont="1" applyFill="1" applyBorder="1" applyAlignment="1">
      <alignment horizontal="center"/>
    </xf>
    <xf numFmtId="0" fontId="44" fillId="0" borderId="21" xfId="0" applyFont="1" applyBorder="1"/>
    <xf numFmtId="10" fontId="46" fillId="0" borderId="0" xfId="0" applyNumberFormat="1" applyFont="1" applyFill="1" applyBorder="1"/>
    <xf numFmtId="165" fontId="37" fillId="15" borderId="24" xfId="0" applyNumberFormat="1" applyFont="1" applyFill="1" applyBorder="1" applyAlignment="1">
      <alignment horizontal="center"/>
    </xf>
    <xf numFmtId="0" fontId="0" fillId="5" borderId="21" xfId="0" applyFill="1" applyBorder="1"/>
    <xf numFmtId="0" fontId="0" fillId="5" borderId="22" xfId="0" applyFill="1" applyBorder="1"/>
    <xf numFmtId="0" fontId="46" fillId="5" borderId="24" xfId="0" applyFont="1" applyFill="1" applyBorder="1" applyAlignment="1">
      <alignment horizontal="center"/>
    </xf>
    <xf numFmtId="0" fontId="0" fillId="0" borderId="24" xfId="0" applyFont="1" applyBorder="1" applyAlignment="1">
      <alignment horizontal="center"/>
    </xf>
    <xf numFmtId="10" fontId="46" fillId="5" borderId="0" xfId="0" applyNumberFormat="1" applyFont="1" applyFill="1" applyBorder="1" applyAlignment="1"/>
    <xf numFmtId="0" fontId="0" fillId="0" borderId="0" xfId="0" applyBorder="1" applyAlignment="1"/>
    <xf numFmtId="0" fontId="43" fillId="5" borderId="0" xfId="0" applyFont="1" applyFill="1" applyBorder="1" applyAlignment="1">
      <alignment horizontal="center"/>
    </xf>
    <xf numFmtId="9" fontId="0" fillId="0" borderId="0" xfId="0" applyNumberFormat="1" applyBorder="1" applyAlignment="1">
      <alignment horizontal="center"/>
    </xf>
    <xf numFmtId="0" fontId="50" fillId="0" borderId="0" xfId="0" applyFont="1" applyBorder="1" applyAlignment="1">
      <alignment horizontal="right"/>
    </xf>
    <xf numFmtId="0" fontId="37" fillId="4" borderId="36" xfId="0" applyFont="1" applyFill="1" applyBorder="1" applyAlignment="1">
      <alignment horizontal="center"/>
    </xf>
    <xf numFmtId="10" fontId="51" fillId="18" borderId="0" xfId="0" applyNumberFormat="1" applyFont="1" applyFill="1" applyBorder="1" applyAlignment="1"/>
    <xf numFmtId="0" fontId="1" fillId="16" borderId="0" xfId="0" applyFont="1" applyFill="1" applyBorder="1" applyAlignment="1"/>
    <xf numFmtId="10" fontId="52" fillId="5" borderId="0" xfId="0" applyNumberFormat="1" applyFont="1" applyFill="1" applyBorder="1" applyAlignment="1">
      <alignment horizontal="right"/>
    </xf>
    <xf numFmtId="10" fontId="50" fillId="5" borderId="0" xfId="0" applyNumberFormat="1" applyFont="1" applyFill="1" applyBorder="1" applyAlignment="1">
      <alignment horizontal="right"/>
    </xf>
    <xf numFmtId="10" fontId="50" fillId="5" borderId="0" xfId="0" applyNumberFormat="1" applyFont="1" applyFill="1" applyBorder="1" applyAlignment="1"/>
    <xf numFmtId="0" fontId="1" fillId="0" borderId="1" xfId="0" applyFont="1" applyBorder="1" applyAlignment="1">
      <alignment horizontal="center"/>
    </xf>
    <xf numFmtId="0" fontId="1" fillId="0" borderId="22" xfId="0" applyFont="1" applyBorder="1"/>
    <xf numFmtId="10" fontId="51" fillId="17" borderId="0" xfId="0" applyNumberFormat="1" applyFont="1" applyFill="1" applyBorder="1" applyAlignment="1"/>
    <xf numFmtId="0" fontId="51" fillId="18" borderId="0" xfId="0" applyFont="1" applyFill="1" applyBorder="1" applyAlignment="1"/>
    <xf numFmtId="10" fontId="51" fillId="16" borderId="0" xfId="0" applyNumberFormat="1" applyFont="1" applyFill="1" applyBorder="1" applyAlignment="1"/>
    <xf numFmtId="10" fontId="51" fillId="18" borderId="21" xfId="0" applyNumberFormat="1" applyFont="1" applyFill="1" applyBorder="1" applyAlignment="1"/>
    <xf numFmtId="10" fontId="51" fillId="17" borderId="21" xfId="0" applyNumberFormat="1" applyFont="1" applyFill="1" applyBorder="1" applyAlignment="1"/>
    <xf numFmtId="10" fontId="51" fillId="16" borderId="21" xfId="0" applyNumberFormat="1" applyFont="1" applyFill="1" applyBorder="1" applyAlignment="1"/>
    <xf numFmtId="0" fontId="1" fillId="16" borderId="21" xfId="0" applyFont="1" applyFill="1" applyBorder="1" applyAlignment="1"/>
    <xf numFmtId="10" fontId="51" fillId="18" borderId="22" xfId="0" applyNumberFormat="1" applyFont="1" applyFill="1" applyBorder="1" applyAlignment="1"/>
    <xf numFmtId="0" fontId="1" fillId="17" borderId="0" xfId="0" applyFont="1" applyFill="1" applyBorder="1"/>
    <xf numFmtId="0" fontId="1" fillId="17" borderId="22" xfId="0" applyFont="1" applyFill="1" applyBorder="1"/>
    <xf numFmtId="0" fontId="1" fillId="17" borderId="21" xfId="0" applyFont="1" applyFill="1" applyBorder="1" applyAlignment="1"/>
    <xf numFmtId="0" fontId="1" fillId="17" borderId="0" xfId="0" applyFont="1" applyFill="1" applyBorder="1" applyAlignment="1"/>
    <xf numFmtId="0" fontId="1" fillId="17" borderId="25" xfId="0" applyFont="1" applyFill="1" applyBorder="1" applyAlignment="1"/>
    <xf numFmtId="0" fontId="1" fillId="17" borderId="26" xfId="0" applyFont="1" applyFill="1" applyBorder="1" applyAlignment="1"/>
    <xf numFmtId="0" fontId="1" fillId="17" borderId="26" xfId="0" applyFont="1" applyFill="1" applyBorder="1"/>
    <xf numFmtId="0" fontId="1" fillId="17" borderId="27" xfId="0" applyFont="1" applyFill="1" applyBorder="1"/>
    <xf numFmtId="0" fontId="1" fillId="16" borderId="0" xfId="0" applyFont="1" applyFill="1" applyBorder="1"/>
    <xf numFmtId="0" fontId="1" fillId="16" borderId="22" xfId="0" applyFont="1" applyFill="1" applyBorder="1"/>
    <xf numFmtId="0" fontId="1" fillId="18" borderId="22" xfId="0" applyFont="1" applyFill="1" applyBorder="1" applyAlignment="1"/>
    <xf numFmtId="10" fontId="51" fillId="18" borderId="25" xfId="0" applyNumberFormat="1" applyFont="1" applyFill="1" applyBorder="1" applyAlignment="1"/>
    <xf numFmtId="10" fontId="51" fillId="18" borderId="26" xfId="0" applyNumberFormat="1" applyFont="1" applyFill="1" applyBorder="1" applyAlignment="1"/>
    <xf numFmtId="0" fontId="51" fillId="18" borderId="26" xfId="0" applyFont="1" applyFill="1" applyBorder="1" applyAlignment="1"/>
    <xf numFmtId="0" fontId="1" fillId="18" borderId="27" xfId="0" applyFont="1" applyFill="1" applyBorder="1" applyAlignment="1"/>
    <xf numFmtId="0" fontId="1" fillId="16" borderId="25" xfId="0" applyFont="1" applyFill="1" applyBorder="1" applyAlignment="1"/>
    <xf numFmtId="0" fontId="1" fillId="16" borderId="26" xfId="0" applyFont="1" applyFill="1" applyBorder="1" applyAlignment="1"/>
    <xf numFmtId="0" fontId="1" fillId="16" borderId="26" xfId="0" applyFont="1" applyFill="1" applyBorder="1"/>
    <xf numFmtId="0" fontId="1" fillId="16" borderId="27" xfId="0" applyFont="1" applyFill="1" applyBorder="1"/>
    <xf numFmtId="0" fontId="37" fillId="5" borderId="0" xfId="0" applyFont="1" applyFill="1" applyAlignment="1">
      <alignment horizontal="center"/>
    </xf>
    <xf numFmtId="10" fontId="51" fillId="5" borderId="1" xfId="0" applyNumberFormat="1" applyFont="1" applyFill="1" applyBorder="1" applyAlignment="1">
      <alignment horizontal="center"/>
    </xf>
    <xf numFmtId="10" fontId="0" fillId="0" borderId="0" xfId="0" applyNumberFormat="1"/>
    <xf numFmtId="10" fontId="1" fillId="12" borderId="1" xfId="0" applyNumberFormat="1" applyFont="1" applyFill="1" applyBorder="1" applyAlignment="1">
      <alignment horizontal="center"/>
    </xf>
    <xf numFmtId="10" fontId="1" fillId="5" borderId="1" xfId="0" applyNumberFormat="1" applyFont="1" applyFill="1" applyBorder="1" applyAlignment="1">
      <alignment horizontal="center"/>
    </xf>
    <xf numFmtId="174" fontId="46" fillId="5" borderId="1" xfId="0" applyNumberFormat="1" applyFont="1" applyFill="1" applyBorder="1" applyAlignment="1">
      <alignment horizontal="center"/>
    </xf>
    <xf numFmtId="174" fontId="50" fillId="5" borderId="1" xfId="0" applyNumberFormat="1" applyFont="1" applyFill="1" applyBorder="1" applyAlignment="1">
      <alignment horizontal="center" vertical="center"/>
    </xf>
    <xf numFmtId="174" fontId="50" fillId="0" borderId="1" xfId="0" applyNumberFormat="1" applyFont="1" applyBorder="1" applyAlignment="1">
      <alignment horizontal="center" vertical="center"/>
    </xf>
    <xf numFmtId="0" fontId="49" fillId="4" borderId="36" xfId="0" applyFont="1" applyFill="1" applyBorder="1"/>
    <xf numFmtId="0" fontId="9" fillId="4" borderId="13" xfId="0" applyFont="1" applyFill="1" applyBorder="1" applyAlignment="1">
      <alignment horizontal="center"/>
    </xf>
    <xf numFmtId="0" fontId="9" fillId="4" borderId="13" xfId="0" applyFont="1" applyFill="1" applyBorder="1"/>
    <xf numFmtId="1" fontId="1" fillId="0" borderId="1" xfId="0" applyNumberFormat="1" applyFont="1" applyBorder="1" applyAlignment="1">
      <alignment horizontal="center"/>
    </xf>
    <xf numFmtId="2" fontId="0" fillId="14" borderId="1" xfId="0" applyNumberFormat="1" applyFill="1" applyBorder="1" applyAlignment="1">
      <alignment horizontal="center"/>
    </xf>
    <xf numFmtId="0" fontId="9" fillId="4" borderId="76" xfId="0" applyFont="1" applyFill="1" applyBorder="1" applyAlignment="1">
      <alignment horizontal="center"/>
    </xf>
    <xf numFmtId="0" fontId="9" fillId="4" borderId="72" xfId="0" applyFont="1" applyFill="1" applyBorder="1" applyAlignment="1">
      <alignment horizontal="center"/>
    </xf>
    <xf numFmtId="0" fontId="9" fillId="4" borderId="13" xfId="0" applyFont="1" applyFill="1" applyBorder="1" applyAlignment="1">
      <alignment horizontal="center" vertical="center"/>
    </xf>
    <xf numFmtId="0" fontId="55" fillId="0" borderId="0" xfId="0" applyFont="1" applyAlignment="1">
      <alignment vertical="center"/>
    </xf>
    <xf numFmtId="0" fontId="55" fillId="5" borderId="0" xfId="0" applyFont="1" applyFill="1" applyAlignment="1">
      <alignment vertical="center"/>
    </xf>
    <xf numFmtId="0" fontId="48" fillId="5" borderId="0" xfId="0" applyFont="1" applyFill="1" applyBorder="1" applyAlignment="1"/>
    <xf numFmtId="0" fontId="0" fillId="0" borderId="81" xfId="0" applyBorder="1"/>
    <xf numFmtId="0" fontId="0" fillId="0" borderId="82" xfId="0" applyBorder="1"/>
    <xf numFmtId="0" fontId="0" fillId="0" borderId="83" xfId="0" applyBorder="1"/>
    <xf numFmtId="2" fontId="46" fillId="5" borderId="0" xfId="0" applyNumberFormat="1" applyFont="1" applyFill="1"/>
    <xf numFmtId="2" fontId="46" fillId="5" borderId="1" xfId="0" applyNumberFormat="1" applyFont="1" applyFill="1" applyBorder="1" applyAlignment="1">
      <alignment horizontal="center"/>
    </xf>
    <xf numFmtId="0" fontId="37" fillId="4" borderId="1" xfId="0" applyFont="1" applyFill="1" applyBorder="1" applyAlignment="1">
      <alignment horizontal="center"/>
    </xf>
    <xf numFmtId="0" fontId="34" fillId="5" borderId="0" xfId="0" applyFont="1" applyFill="1" applyAlignment="1"/>
    <xf numFmtId="0" fontId="1" fillId="0" borderId="0" xfId="0" applyFont="1"/>
    <xf numFmtId="0" fontId="1" fillId="0" borderId="0" xfId="0" applyFont="1" applyAlignment="1">
      <alignment horizontal="center"/>
    </xf>
    <xf numFmtId="0" fontId="1" fillId="5" borderId="0" xfId="0" applyFont="1" applyFill="1"/>
    <xf numFmtId="0" fontId="56" fillId="5" borderId="0" xfId="0" applyFont="1" applyFill="1" applyAlignment="1">
      <alignment horizontal="center"/>
    </xf>
    <xf numFmtId="0" fontId="57" fillId="5" borderId="0" xfId="0" applyFont="1" applyFill="1" applyBorder="1" applyAlignment="1">
      <alignment horizontal="center"/>
    </xf>
    <xf numFmtId="0" fontId="1" fillId="0" borderId="17" xfId="0" applyFont="1" applyBorder="1"/>
    <xf numFmtId="0" fontId="1" fillId="0" borderId="23" xfId="0" applyFont="1" applyBorder="1"/>
    <xf numFmtId="0" fontId="1" fillId="10" borderId="24" xfId="0" applyFont="1" applyFill="1" applyBorder="1" applyAlignment="1">
      <alignment horizontal="center"/>
    </xf>
    <xf numFmtId="0" fontId="1" fillId="0" borderId="21" xfId="0" applyFont="1" applyBorder="1"/>
    <xf numFmtId="0" fontId="1" fillId="0" borderId="22"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vertical="center"/>
    </xf>
    <xf numFmtId="0" fontId="1" fillId="0" borderId="23" xfId="0" applyFont="1" applyBorder="1" applyAlignment="1">
      <alignment horizontal="right"/>
    </xf>
    <xf numFmtId="2" fontId="1" fillId="0" borderId="1" xfId="0" applyNumberFormat="1" applyFont="1" applyBorder="1" applyAlignment="1">
      <alignment horizontal="center"/>
    </xf>
    <xf numFmtId="0" fontId="1" fillId="0" borderId="10" xfId="0" applyFont="1" applyBorder="1" applyAlignment="1">
      <alignment horizontal="right"/>
    </xf>
    <xf numFmtId="0" fontId="1" fillId="0" borderId="31" xfId="0" applyFont="1" applyBorder="1"/>
    <xf numFmtId="0" fontId="1" fillId="0" borderId="25" xfId="0" applyFont="1" applyBorder="1"/>
    <xf numFmtId="0" fontId="37" fillId="4" borderId="6" xfId="0" applyFont="1" applyFill="1" applyBorder="1" applyAlignment="1">
      <alignment horizontal="center"/>
    </xf>
    <xf numFmtId="0" fontId="37" fillId="4" borderId="1" xfId="0" applyFont="1" applyFill="1" applyBorder="1" applyAlignment="1">
      <alignment horizontal="center" vertical="center"/>
    </xf>
    <xf numFmtId="0" fontId="1" fillId="0" borderId="23" xfId="0" applyFont="1" applyBorder="1" applyAlignment="1">
      <alignment horizontal="center"/>
    </xf>
    <xf numFmtId="0" fontId="37" fillId="4" borderId="1" xfId="0" applyFont="1" applyFill="1" applyBorder="1"/>
    <xf numFmtId="9" fontId="0" fillId="0" borderId="1" xfId="0" applyNumberFormat="1" applyBorder="1" applyAlignment="1">
      <alignment horizontal="center"/>
    </xf>
    <xf numFmtId="9" fontId="8" fillId="0" borderId="0" xfId="0" applyNumberFormat="1" applyFont="1"/>
    <xf numFmtId="9" fontId="37" fillId="4" borderId="1" xfId="0" applyNumberFormat="1" applyFont="1" applyFill="1" applyBorder="1" applyAlignment="1">
      <alignment horizontal="center"/>
    </xf>
    <xf numFmtId="9" fontId="37" fillId="5" borderId="0" xfId="0" applyNumberFormat="1" applyFont="1" applyFill="1" applyBorder="1" applyAlignment="1">
      <alignment horizontal="center"/>
    </xf>
    <xf numFmtId="0" fontId="28" fillId="5" borderId="0" xfId="0" applyFont="1" applyFill="1" applyBorder="1"/>
    <xf numFmtId="0" fontId="29" fillId="4" borderId="28" xfId="0" applyFont="1" applyFill="1" applyBorder="1"/>
    <xf numFmtId="0" fontId="28" fillId="0" borderId="23" xfId="0" applyFont="1" applyBorder="1"/>
    <xf numFmtId="0" fontId="27" fillId="0" borderId="23" xfId="0" applyFont="1" applyBorder="1"/>
    <xf numFmtId="0" fontId="28" fillId="0" borderId="23" xfId="0" applyFont="1" applyFill="1" applyBorder="1"/>
    <xf numFmtId="170" fontId="28" fillId="0" borderId="11" xfId="1" applyNumberFormat="1" applyFont="1" applyBorder="1"/>
    <xf numFmtId="170" fontId="28" fillId="0" borderId="12" xfId="1" applyNumberFormat="1" applyFont="1" applyBorder="1"/>
    <xf numFmtId="171" fontId="51" fillId="5" borderId="11" xfId="0" applyNumberFormat="1" applyFont="1" applyFill="1" applyBorder="1" applyAlignment="1">
      <alignment horizontal="center"/>
    </xf>
    <xf numFmtId="0" fontId="38" fillId="5" borderId="0" xfId="0" applyFont="1" applyFill="1" applyBorder="1" applyAlignment="1">
      <alignment horizontal="center"/>
    </xf>
    <xf numFmtId="170" fontId="58" fillId="5" borderId="1" xfId="1" applyNumberFormat="1" applyFont="1" applyFill="1" applyBorder="1"/>
    <xf numFmtId="0" fontId="61" fillId="5" borderId="23" xfId="0" applyFont="1" applyFill="1" applyBorder="1" applyAlignment="1">
      <alignment vertical="center"/>
    </xf>
    <xf numFmtId="0" fontId="30" fillId="0" borderId="0" xfId="0" applyFont="1" applyBorder="1" applyAlignment="1">
      <alignment vertical="center"/>
    </xf>
    <xf numFmtId="0" fontId="9" fillId="4" borderId="0" xfId="0" applyFont="1" applyFill="1" applyBorder="1"/>
    <xf numFmtId="174" fontId="0" fillId="0" borderId="1" xfId="0" applyNumberFormat="1" applyBorder="1" applyAlignment="1">
      <alignment horizontal="center"/>
    </xf>
    <xf numFmtId="10" fontId="51" fillId="16" borderId="1" xfId="0" applyNumberFormat="1" applyFont="1" applyFill="1" applyBorder="1" applyAlignment="1">
      <alignment horizontal="center"/>
    </xf>
    <xf numFmtId="0" fontId="37" fillId="4" borderId="22" xfId="0" applyFont="1" applyFill="1" applyBorder="1" applyAlignment="1"/>
    <xf numFmtId="0" fontId="64" fillId="11" borderId="59" xfId="0" applyFont="1" applyFill="1" applyBorder="1"/>
    <xf numFmtId="0" fontId="1" fillId="11" borderId="84" xfId="0" applyFont="1" applyFill="1" applyBorder="1"/>
    <xf numFmtId="0" fontId="1" fillId="11" borderId="60" xfId="0" applyFont="1" applyFill="1" applyBorder="1"/>
    <xf numFmtId="0" fontId="1" fillId="11" borderId="59" xfId="0" applyFont="1" applyFill="1" applyBorder="1"/>
    <xf numFmtId="0" fontId="64" fillId="11" borderId="59" xfId="0" applyFont="1" applyFill="1" applyBorder="1" applyAlignment="1">
      <alignment vertical="center"/>
    </xf>
    <xf numFmtId="0" fontId="64" fillId="11" borderId="61" xfId="0" applyFont="1" applyFill="1" applyBorder="1"/>
    <xf numFmtId="0" fontId="1" fillId="11" borderId="85" xfId="0" applyFont="1" applyFill="1" applyBorder="1"/>
    <xf numFmtId="0" fontId="1" fillId="11" borderId="86" xfId="0" applyFont="1" applyFill="1" applyBorder="1"/>
    <xf numFmtId="2" fontId="0" fillId="14" borderId="29" xfId="0" applyNumberFormat="1" applyFill="1" applyBorder="1" applyAlignment="1">
      <alignment horizontal="center"/>
    </xf>
    <xf numFmtId="2" fontId="46" fillId="0" borderId="1" xfId="0" applyNumberFormat="1" applyFont="1" applyBorder="1" applyAlignment="1">
      <alignment horizontal="center"/>
    </xf>
    <xf numFmtId="171" fontId="0" fillId="0" borderId="0" xfId="0" applyNumberFormat="1"/>
    <xf numFmtId="0" fontId="9" fillId="5" borderId="0" xfId="0" applyFont="1" applyFill="1" applyBorder="1" applyAlignment="1">
      <alignment vertical="center"/>
    </xf>
    <xf numFmtId="9" fontId="0" fillId="0" borderId="0" xfId="4" applyFont="1"/>
    <xf numFmtId="0" fontId="0" fillId="0" borderId="1" xfId="0" applyBorder="1"/>
    <xf numFmtId="9" fontId="0" fillId="0" borderId="0" xfId="0" applyNumberFormat="1"/>
    <xf numFmtId="9" fontId="0" fillId="0" borderId="1" xfId="4" applyFont="1" applyBorder="1" applyAlignment="1">
      <alignment horizontal="center"/>
    </xf>
    <xf numFmtId="175" fontId="0" fillId="0" borderId="0" xfId="0" applyNumberFormat="1"/>
    <xf numFmtId="0" fontId="24" fillId="4" borderId="1" xfId="0" applyFont="1" applyFill="1" applyBorder="1"/>
    <xf numFmtId="165" fontId="24" fillId="4" borderId="1" xfId="0" applyNumberFormat="1" applyFont="1" applyFill="1" applyBorder="1" applyAlignment="1">
      <alignment horizontal="center"/>
    </xf>
    <xf numFmtId="0" fontId="0" fillId="5" borderId="1" xfId="0" applyFill="1" applyBorder="1"/>
    <xf numFmtId="0" fontId="0" fillId="0" borderId="1" xfId="0" applyBorder="1" applyAlignment="1">
      <alignment horizontal="center"/>
    </xf>
    <xf numFmtId="2" fontId="0" fillId="0" borderId="1" xfId="4" applyNumberFormat="1" applyFont="1" applyBorder="1" applyAlignment="1">
      <alignment horizontal="center"/>
    </xf>
    <xf numFmtId="0" fontId="19" fillId="5" borderId="0" xfId="0" applyFont="1" applyFill="1" applyBorder="1"/>
    <xf numFmtId="165" fontId="9" fillId="4" borderId="8" xfId="0" applyNumberFormat="1" applyFont="1" applyFill="1" applyBorder="1" applyAlignment="1">
      <alignment horizontal="center"/>
    </xf>
    <xf numFmtId="165" fontId="9" fillId="4" borderId="9" xfId="0" applyNumberFormat="1" applyFont="1" applyFill="1" applyBorder="1" applyAlignment="1">
      <alignment horizontal="center"/>
    </xf>
    <xf numFmtId="0" fontId="3" fillId="11" borderId="45" xfId="2" applyFill="1" applyBorder="1" applyAlignment="1" applyProtection="1"/>
    <xf numFmtId="0" fontId="37" fillId="4" borderId="1" xfId="0" applyFont="1" applyFill="1" applyBorder="1" applyAlignment="1">
      <alignment horizontal="center"/>
    </xf>
    <xf numFmtId="174" fontId="0" fillId="0" borderId="1" xfId="0" applyNumberFormat="1" applyBorder="1"/>
    <xf numFmtId="9" fontId="0" fillId="0" borderId="1" xfId="4" applyFont="1" applyBorder="1"/>
    <xf numFmtId="0" fontId="0" fillId="0" borderId="0" xfId="0" applyAlignment="1"/>
    <xf numFmtId="10" fontId="1" fillId="0" borderId="80" xfId="4" applyNumberFormat="1" applyFont="1" applyBorder="1" applyAlignment="1">
      <alignment horizontal="center"/>
    </xf>
    <xf numFmtId="0" fontId="24" fillId="4" borderId="23" xfId="0" applyFont="1" applyFill="1" applyBorder="1"/>
    <xf numFmtId="0" fontId="1" fillId="0" borderId="10" xfId="0" applyFont="1" applyBorder="1"/>
    <xf numFmtId="9" fontId="0" fillId="0" borderId="11" xfId="4" applyFont="1" applyBorder="1"/>
    <xf numFmtId="174" fontId="0" fillId="0" borderId="4" xfId="0" applyNumberFormat="1" applyBorder="1"/>
    <xf numFmtId="9" fontId="0" fillId="0" borderId="4" xfId="4" applyFont="1" applyBorder="1"/>
    <xf numFmtId="9" fontId="0" fillId="0" borderId="74" xfId="4" applyFont="1" applyBorder="1"/>
    <xf numFmtId="0" fontId="50" fillId="0" borderId="88" xfId="0" applyFont="1" applyBorder="1"/>
    <xf numFmtId="0" fontId="50" fillId="0" borderId="89" xfId="0" applyFont="1" applyBorder="1"/>
    <xf numFmtId="0" fontId="50" fillId="0" borderId="90" xfId="0" applyFont="1" applyBorder="1"/>
    <xf numFmtId="0" fontId="0" fillId="0" borderId="0" xfId="0" applyAlignment="1">
      <alignment wrapText="1"/>
    </xf>
    <xf numFmtId="166" fontId="21" fillId="0" borderId="1" xfId="1" applyNumberFormat="1" applyFont="1" applyBorder="1" applyAlignment="1">
      <alignment horizontal="right" vertical="center"/>
    </xf>
    <xf numFmtId="170" fontId="19" fillId="7" borderId="1" xfId="1" applyNumberFormat="1" applyFont="1" applyFill="1" applyBorder="1" applyAlignment="1">
      <alignment horizontal="right" vertical="center"/>
    </xf>
    <xf numFmtId="166" fontId="19" fillId="7" borderId="1" xfId="1" applyNumberFormat="1" applyFont="1" applyFill="1" applyBorder="1" applyAlignment="1">
      <alignment horizontal="right" vertical="center"/>
    </xf>
    <xf numFmtId="0" fontId="37" fillId="4" borderId="1" xfId="0" applyFont="1" applyFill="1" applyBorder="1" applyAlignment="1">
      <alignment horizontal="center"/>
    </xf>
    <xf numFmtId="9" fontId="8" fillId="0" borderId="31" xfId="4" applyFont="1" applyBorder="1" applyAlignment="1">
      <alignment vertical="center"/>
    </xf>
    <xf numFmtId="9" fontId="8" fillId="0" borderId="34" xfId="4" applyFont="1" applyBorder="1"/>
    <xf numFmtId="9" fontId="8" fillId="0" borderId="28" xfId="4" applyFont="1" applyBorder="1" applyAlignment="1">
      <alignment vertical="center"/>
    </xf>
    <xf numFmtId="9" fontId="8" fillId="0" borderId="29" xfId="4" applyFont="1" applyBorder="1"/>
    <xf numFmtId="9" fontId="8" fillId="0" borderId="30" xfId="4" applyFont="1" applyBorder="1"/>
    <xf numFmtId="9" fontId="8" fillId="6" borderId="15" xfId="4" applyFont="1" applyFill="1" applyBorder="1" applyAlignment="1">
      <alignment vertical="center"/>
    </xf>
    <xf numFmtId="9" fontId="7" fillId="6" borderId="15" xfId="4" applyFont="1" applyFill="1" applyBorder="1" applyAlignment="1">
      <alignment vertical="center"/>
    </xf>
    <xf numFmtId="9" fontId="22" fillId="5" borderId="80" xfId="4" applyFont="1" applyFill="1" applyBorder="1"/>
    <xf numFmtId="9" fontId="22" fillId="5" borderId="16" xfId="4" applyFont="1" applyFill="1" applyBorder="1"/>
    <xf numFmtId="0" fontId="1" fillId="5" borderId="0" xfId="0" applyFont="1" applyFill="1" applyBorder="1" applyAlignment="1">
      <alignment horizontal="center"/>
    </xf>
    <xf numFmtId="0" fontId="1" fillId="20" borderId="20" xfId="0" applyFont="1" applyFill="1" applyBorder="1" applyAlignment="1">
      <alignment horizontal="center"/>
    </xf>
    <xf numFmtId="0" fontId="1" fillId="19" borderId="13" xfId="0" applyFont="1" applyFill="1" applyBorder="1" applyAlignment="1">
      <alignment horizontal="center"/>
    </xf>
    <xf numFmtId="9" fontId="22" fillId="5" borderId="79" xfId="4" applyFont="1" applyFill="1" applyBorder="1"/>
    <xf numFmtId="9" fontId="8" fillId="0" borderId="91" xfId="4" applyFont="1" applyBorder="1" applyAlignment="1">
      <alignment vertical="center"/>
    </xf>
    <xf numFmtId="9" fontId="8" fillId="0" borderId="92" xfId="4" applyFont="1" applyBorder="1"/>
    <xf numFmtId="9" fontId="8" fillId="0" borderId="93" xfId="4" applyFont="1" applyBorder="1" applyAlignment="1">
      <alignment vertical="center"/>
    </xf>
    <xf numFmtId="9" fontId="8" fillId="0" borderId="94" xfId="4" applyFont="1" applyBorder="1"/>
    <xf numFmtId="9" fontId="8" fillId="0" borderId="95" xfId="4" applyFont="1" applyBorder="1"/>
    <xf numFmtId="9" fontId="8" fillId="5" borderId="1" xfId="4" applyFont="1" applyFill="1" applyBorder="1"/>
    <xf numFmtId="2" fontId="51" fillId="0" borderId="1" xfId="0" applyNumberFormat="1" applyFont="1" applyBorder="1" applyAlignment="1">
      <alignment horizontal="center"/>
    </xf>
    <xf numFmtId="171" fontId="46" fillId="5" borderId="1" xfId="4" applyNumberFormat="1" applyFont="1" applyFill="1" applyBorder="1" applyAlignment="1">
      <alignment horizontal="center"/>
    </xf>
    <xf numFmtId="2" fontId="51" fillId="5" borderId="1" xfId="0" applyNumberFormat="1" applyFont="1" applyFill="1" applyBorder="1" applyAlignment="1">
      <alignment horizontal="center"/>
    </xf>
    <xf numFmtId="174" fontId="0" fillId="7" borderId="1" xfId="0" applyNumberFormat="1" applyFont="1" applyFill="1" applyBorder="1" applyAlignment="1">
      <alignment horizontal="center"/>
    </xf>
    <xf numFmtId="10" fontId="51" fillId="5" borderId="1" xfId="0" applyNumberFormat="1" applyFont="1" applyFill="1" applyBorder="1" applyAlignment="1">
      <alignment horizontal="center" wrapText="1"/>
    </xf>
    <xf numFmtId="0" fontId="0" fillId="0" borderId="26" xfId="0" applyBorder="1"/>
    <xf numFmtId="0" fontId="1" fillId="0" borderId="23" xfId="0" applyFont="1" applyBorder="1" applyAlignment="1"/>
    <xf numFmtId="0" fontId="0" fillId="0" borderId="26" xfId="0" applyBorder="1" applyAlignment="1"/>
    <xf numFmtId="10" fontId="51" fillId="5" borderId="11" xfId="0" applyNumberFormat="1" applyFont="1" applyFill="1" applyBorder="1" applyAlignment="1">
      <alignment horizontal="center"/>
    </xf>
    <xf numFmtId="10" fontId="0" fillId="0" borderId="0" xfId="0" applyNumberFormat="1" applyBorder="1"/>
    <xf numFmtId="10" fontId="1" fillId="0" borderId="11" xfId="0" applyNumberFormat="1" applyFont="1" applyBorder="1" applyAlignment="1">
      <alignment horizontal="center"/>
    </xf>
    <xf numFmtId="165" fontId="24" fillId="4" borderId="9" xfId="0" applyNumberFormat="1" applyFont="1" applyFill="1" applyBorder="1" applyAlignment="1">
      <alignment horizontal="center"/>
    </xf>
    <xf numFmtId="2" fontId="51" fillId="4" borderId="11" xfId="0" applyNumberFormat="1" applyFont="1" applyFill="1" applyBorder="1" applyAlignment="1">
      <alignment horizontal="center"/>
    </xf>
    <xf numFmtId="165" fontId="24" fillId="4" borderId="96" xfId="0" applyNumberFormat="1" applyFont="1" applyFill="1" applyBorder="1" applyAlignment="1">
      <alignment horizontal="center"/>
    </xf>
    <xf numFmtId="165" fontId="24" fillId="4" borderId="14" xfId="0" applyNumberFormat="1" applyFont="1" applyFill="1" applyBorder="1" applyAlignment="1">
      <alignment horizontal="center"/>
    </xf>
    <xf numFmtId="0" fontId="42" fillId="0" borderId="0" xfId="2" applyFont="1" applyAlignment="1" applyProtection="1">
      <alignment vertical="center"/>
    </xf>
    <xf numFmtId="0" fontId="6" fillId="0" borderId="0" xfId="0" applyFont="1" applyBorder="1" applyAlignment="1">
      <alignment vertical="center"/>
    </xf>
    <xf numFmtId="0" fontId="1" fillId="19" borderId="13" xfId="0" applyFont="1" applyFill="1" applyBorder="1" applyAlignment="1">
      <alignment horizontal="center" vertical="center"/>
    </xf>
    <xf numFmtId="0" fontId="1" fillId="20" borderId="20" xfId="0" applyFont="1" applyFill="1" applyBorder="1" applyAlignment="1">
      <alignment horizontal="center" vertical="center"/>
    </xf>
    <xf numFmtId="0" fontId="7" fillId="0" borderId="0" xfId="0" applyFont="1" applyBorder="1" applyAlignment="1">
      <alignment horizontal="center"/>
    </xf>
    <xf numFmtId="9" fontId="10" fillId="0" borderId="0" xfId="4" applyFont="1" applyBorder="1" applyAlignment="1">
      <alignment vertical="center"/>
    </xf>
    <xf numFmtId="0" fontId="69" fillId="0" borderId="0" xfId="0" applyFont="1" applyBorder="1" applyAlignment="1">
      <alignment vertical="center"/>
    </xf>
    <xf numFmtId="0" fontId="1" fillId="20" borderId="13" xfId="0" applyFont="1" applyFill="1" applyBorder="1" applyAlignment="1">
      <alignment horizontal="center" vertical="center"/>
    </xf>
    <xf numFmtId="0" fontId="7" fillId="5" borderId="0" xfId="0" applyFont="1" applyFill="1" applyBorder="1" applyAlignment="1">
      <alignment horizontal="center" vertical="center"/>
    </xf>
    <xf numFmtId="9" fontId="19" fillId="5" borderId="0" xfId="0" applyNumberFormat="1" applyFont="1" applyFill="1" applyBorder="1" applyAlignment="1">
      <alignment vertical="center"/>
    </xf>
    <xf numFmtId="0" fontId="8" fillId="5" borderId="0" xfId="0" applyFont="1" applyFill="1" applyAlignment="1">
      <alignment vertical="center"/>
    </xf>
    <xf numFmtId="0" fontId="22" fillId="5" borderId="0" xfId="0" applyFont="1" applyFill="1" applyBorder="1" applyAlignment="1">
      <alignment horizontal="center" vertical="center"/>
    </xf>
    <xf numFmtId="166" fontId="12" fillId="0" borderId="4" xfId="0" applyNumberFormat="1" applyFont="1" applyBorder="1" applyAlignment="1">
      <alignment horizontal="center" vertical="center"/>
    </xf>
    <xf numFmtId="1" fontId="7" fillId="0" borderId="4" xfId="0" applyNumberFormat="1" applyFont="1" applyBorder="1" applyAlignment="1">
      <alignment vertical="center"/>
    </xf>
    <xf numFmtId="166" fontId="8" fillId="0" borderId="1" xfId="1" applyNumberFormat="1" applyFont="1" applyFill="1" applyBorder="1" applyAlignment="1">
      <alignment horizontal="center" vertical="center"/>
    </xf>
    <xf numFmtId="0" fontId="8" fillId="0" borderId="1" xfId="0" applyFont="1" applyBorder="1" applyAlignment="1">
      <alignment horizontal="left" vertical="center"/>
    </xf>
    <xf numFmtId="49" fontId="19" fillId="13" borderId="1" xfId="0" applyNumberFormat="1" applyFont="1" applyFill="1" applyBorder="1" applyAlignment="1">
      <alignment horizontal="center" vertical="center"/>
    </xf>
    <xf numFmtId="0" fontId="12" fillId="0" borderId="1" xfId="0" applyFont="1" applyBorder="1" applyAlignment="1">
      <alignment vertical="center"/>
    </xf>
    <xf numFmtId="9" fontId="7" fillId="0" borderId="23" xfId="0" applyNumberFormat="1" applyFont="1" applyBorder="1" applyAlignment="1">
      <alignment vertical="center"/>
    </xf>
    <xf numFmtId="9" fontId="9" fillId="4" borderId="10" xfId="0" applyNumberFormat="1" applyFont="1" applyFill="1" applyBorder="1" applyAlignment="1">
      <alignment vertical="center"/>
    </xf>
    <xf numFmtId="0" fontId="8" fillId="0" borderId="36" xfId="0" applyFont="1" applyBorder="1"/>
    <xf numFmtId="9" fontId="51" fillId="0" borderId="1" xfId="0" applyNumberFormat="1" applyFont="1" applyBorder="1" applyAlignment="1">
      <alignment horizontal="center" vertical="center"/>
    </xf>
    <xf numFmtId="0" fontId="1" fillId="5" borderId="1" xfId="0" applyFont="1" applyFill="1" applyBorder="1" applyAlignment="1">
      <alignment horizontal="center"/>
    </xf>
    <xf numFmtId="0" fontId="1" fillId="12" borderId="12" xfId="0" applyFont="1" applyFill="1" applyBorder="1" applyAlignment="1">
      <alignment horizontal="center"/>
    </xf>
    <xf numFmtId="0" fontId="1" fillId="12" borderId="24" xfId="0" applyFont="1" applyFill="1" applyBorder="1" applyAlignment="1">
      <alignment horizontal="center"/>
    </xf>
    <xf numFmtId="0" fontId="51" fillId="12" borderId="13" xfId="0" applyFont="1" applyFill="1" applyBorder="1" applyAlignment="1">
      <alignment horizontal="center"/>
    </xf>
    <xf numFmtId="165" fontId="9" fillId="4" borderId="19" xfId="0" applyNumberFormat="1" applyFont="1" applyFill="1" applyBorder="1" applyAlignment="1">
      <alignment horizontal="center"/>
    </xf>
    <xf numFmtId="0" fontId="1" fillId="4" borderId="6" xfId="0" applyFont="1" applyFill="1" applyBorder="1" applyAlignment="1">
      <alignment horizontal="center" vertical="center"/>
    </xf>
    <xf numFmtId="2" fontId="1" fillId="0" borderId="6" xfId="0" applyNumberFormat="1" applyFont="1" applyBorder="1" applyAlignment="1">
      <alignment horizontal="center"/>
    </xf>
    <xf numFmtId="0" fontId="1" fillId="4" borderId="6" xfId="0" applyFont="1" applyFill="1" applyBorder="1" applyAlignment="1">
      <alignment horizontal="center"/>
    </xf>
    <xf numFmtId="0" fontId="37" fillId="4" borderId="6" xfId="0" applyFont="1" applyFill="1" applyBorder="1"/>
    <xf numFmtId="0" fontId="1" fillId="10" borderId="95" xfId="0" applyFont="1" applyFill="1" applyBorder="1" applyAlignment="1">
      <alignment horizontal="center"/>
    </xf>
    <xf numFmtId="9" fontId="7" fillId="5" borderId="80" xfId="4" applyFont="1" applyFill="1" applyBorder="1"/>
    <xf numFmtId="9" fontId="8" fillId="5" borderId="16" xfId="4" applyFont="1" applyFill="1" applyBorder="1"/>
    <xf numFmtId="0" fontId="1" fillId="19" borderId="37" xfId="0" applyFont="1" applyFill="1" applyBorder="1" applyAlignment="1">
      <alignment horizontal="center" vertical="center"/>
    </xf>
    <xf numFmtId="0" fontId="1" fillId="20" borderId="27" xfId="0" applyFont="1" applyFill="1" applyBorder="1" applyAlignment="1">
      <alignment horizontal="center" vertical="center"/>
    </xf>
    <xf numFmtId="0" fontId="26" fillId="0" borderId="21" xfId="0" applyFont="1" applyBorder="1"/>
    <xf numFmtId="0" fontId="9" fillId="5" borderId="21" xfId="0" applyFont="1" applyFill="1" applyBorder="1" applyAlignment="1">
      <alignment horizontal="center"/>
    </xf>
    <xf numFmtId="0" fontId="8" fillId="5" borderId="21" xfId="0" applyFont="1" applyFill="1" applyBorder="1" applyAlignment="1">
      <alignment vertical="center"/>
    </xf>
    <xf numFmtId="0" fontId="8" fillId="5" borderId="0" xfId="0" applyFont="1" applyFill="1" applyBorder="1" applyAlignment="1">
      <alignment vertical="center"/>
    </xf>
    <xf numFmtId="170" fontId="7" fillId="0" borderId="13" xfId="1" applyNumberFormat="1" applyFont="1" applyBorder="1"/>
    <xf numFmtId="43" fontId="7" fillId="0" borderId="13" xfId="0" applyNumberFormat="1" applyFont="1" applyBorder="1"/>
    <xf numFmtId="0" fontId="74" fillId="0" borderId="21" xfId="0" applyFont="1" applyBorder="1" applyAlignment="1">
      <alignment vertical="center"/>
    </xf>
    <xf numFmtId="0" fontId="74" fillId="0" borderId="0" xfId="0" applyFont="1" applyAlignment="1">
      <alignment vertical="center"/>
    </xf>
    <xf numFmtId="0" fontId="81" fillId="0" borderId="0" xfId="0" applyFont="1" applyBorder="1" applyAlignment="1">
      <alignment vertical="center"/>
    </xf>
    <xf numFmtId="9" fontId="10" fillId="0" borderId="34" xfId="4" applyFont="1" applyBorder="1" applyAlignment="1">
      <alignment vertical="center"/>
    </xf>
    <xf numFmtId="0" fontId="10" fillId="0" borderId="33" xfId="0" applyFont="1" applyBorder="1" applyAlignment="1">
      <alignment vertical="center"/>
    </xf>
    <xf numFmtId="0" fontId="70" fillId="0" borderId="0" xfId="0" applyFont="1" applyBorder="1" applyAlignment="1">
      <alignment vertical="center"/>
    </xf>
    <xf numFmtId="9" fontId="7" fillId="0" borderId="1" xfId="4" applyFont="1" applyBorder="1" applyAlignment="1">
      <alignment vertical="center"/>
    </xf>
    <xf numFmtId="0" fontId="71" fillId="0" borderId="0" xfId="0" applyFont="1" applyBorder="1" applyAlignment="1">
      <alignment vertical="center"/>
    </xf>
    <xf numFmtId="9" fontId="10" fillId="0" borderId="34" xfId="4" applyFont="1" applyBorder="1" applyAlignment="1">
      <alignment horizontal="right" vertical="center" wrapText="1"/>
    </xf>
    <xf numFmtId="10" fontId="51" fillId="9" borderId="17" xfId="0" applyNumberFormat="1" applyFont="1" applyFill="1" applyBorder="1" applyAlignment="1"/>
    <xf numFmtId="10" fontId="51" fillId="9" borderId="18" xfId="0" applyNumberFormat="1" applyFont="1" applyFill="1" applyBorder="1" applyAlignment="1"/>
    <xf numFmtId="10" fontId="51" fillId="9" borderId="19" xfId="0" applyNumberFormat="1" applyFont="1" applyFill="1" applyBorder="1" applyAlignment="1"/>
    <xf numFmtId="10" fontId="51" fillId="9" borderId="21" xfId="0" applyNumberFormat="1" applyFont="1" applyFill="1" applyBorder="1" applyAlignment="1"/>
    <xf numFmtId="10" fontId="51" fillId="9" borderId="0" xfId="0" applyNumberFormat="1" applyFont="1" applyFill="1" applyBorder="1" applyAlignment="1"/>
    <xf numFmtId="10" fontId="51" fillId="9" borderId="22" xfId="0" applyNumberFormat="1" applyFont="1" applyFill="1" applyBorder="1" applyAlignment="1"/>
    <xf numFmtId="0" fontId="50" fillId="9" borderId="0" xfId="0" applyFont="1" applyFill="1" applyBorder="1" applyAlignment="1"/>
    <xf numFmtId="0" fontId="51" fillId="9" borderId="22" xfId="0" applyFont="1" applyFill="1" applyBorder="1" applyAlignment="1"/>
    <xf numFmtId="0" fontId="1" fillId="9" borderId="22" xfId="0" applyFont="1" applyFill="1" applyBorder="1" applyAlignment="1"/>
    <xf numFmtId="10" fontId="37" fillId="9" borderId="25" xfId="0" applyNumberFormat="1" applyFont="1" applyFill="1" applyBorder="1" applyAlignment="1"/>
    <xf numFmtId="10" fontId="37" fillId="9" borderId="26" xfId="0" applyNumberFormat="1" applyFont="1" applyFill="1" applyBorder="1" applyAlignment="1"/>
    <xf numFmtId="0" fontId="1" fillId="9" borderId="27" xfId="0" applyFont="1" applyFill="1" applyBorder="1" applyAlignment="1"/>
    <xf numFmtId="0" fontId="37" fillId="4" borderId="23" xfId="0" applyFont="1" applyFill="1" applyBorder="1" applyAlignment="1">
      <alignment horizontal="center"/>
    </xf>
    <xf numFmtId="10" fontId="0" fillId="5" borderId="1" xfId="0" applyNumberFormat="1" applyFill="1" applyBorder="1" applyAlignment="1">
      <alignment horizontal="center"/>
    </xf>
    <xf numFmtId="10" fontId="0" fillId="5" borderId="4" xfId="0" applyNumberFormat="1" applyFill="1" applyBorder="1" applyAlignment="1">
      <alignment horizontal="center"/>
    </xf>
    <xf numFmtId="10" fontId="0" fillId="5" borderId="0" xfId="0" applyNumberFormat="1" applyFill="1" applyBorder="1" applyAlignment="1">
      <alignment horizontal="center"/>
    </xf>
    <xf numFmtId="10" fontId="0" fillId="5" borderId="34" xfId="0" applyNumberFormat="1" applyFill="1" applyBorder="1" applyAlignment="1">
      <alignment horizontal="center"/>
    </xf>
    <xf numFmtId="0" fontId="0" fillId="0" borderId="77" xfId="0" applyBorder="1" applyAlignment="1">
      <alignment horizontal="center"/>
    </xf>
    <xf numFmtId="9" fontId="0" fillId="5" borderId="1" xfId="0" applyNumberFormat="1" applyFill="1" applyBorder="1" applyAlignment="1">
      <alignment horizontal="center"/>
    </xf>
    <xf numFmtId="9" fontId="0" fillId="5" borderId="4" xfId="0" applyNumberFormat="1" applyFill="1" applyBorder="1" applyAlignment="1">
      <alignment horizontal="center"/>
    </xf>
    <xf numFmtId="165" fontId="37" fillId="4" borderId="1" xfId="0" applyNumberFormat="1" applyFont="1" applyFill="1" applyBorder="1" applyAlignment="1">
      <alignment horizontal="center"/>
    </xf>
    <xf numFmtId="0" fontId="4" fillId="4" borderId="21" xfId="0" applyFont="1" applyFill="1" applyBorder="1"/>
    <xf numFmtId="0" fontId="0" fillId="0" borderId="23" xfId="0" applyBorder="1"/>
    <xf numFmtId="1" fontId="0" fillId="0" borderId="24" xfId="0" applyNumberFormat="1" applyBorder="1" applyAlignment="1">
      <alignment horizontal="center"/>
    </xf>
    <xf numFmtId="0" fontId="0" fillId="6" borderId="23" xfId="0" applyFill="1" applyBorder="1"/>
    <xf numFmtId="0" fontId="0" fillId="0" borderId="10" xfId="0" applyBorder="1"/>
    <xf numFmtId="0" fontId="0" fillId="0" borderId="11" xfId="0" applyBorder="1" applyAlignment="1">
      <alignment horizontal="center"/>
    </xf>
    <xf numFmtId="0" fontId="0" fillId="0" borderId="12" xfId="0" applyBorder="1" applyAlignment="1">
      <alignment horizontal="center"/>
    </xf>
    <xf numFmtId="0" fontId="43" fillId="4" borderId="21" xfId="0" applyFont="1" applyFill="1" applyBorder="1"/>
    <xf numFmtId="165" fontId="37" fillId="4" borderId="24" xfId="0" applyNumberFormat="1" applyFont="1" applyFill="1" applyBorder="1" applyAlignment="1">
      <alignment horizontal="center"/>
    </xf>
    <xf numFmtId="0" fontId="0" fillId="0" borderId="28" xfId="0" applyBorder="1"/>
    <xf numFmtId="3" fontId="0" fillId="0" borderId="1" xfId="0" applyNumberFormat="1" applyBorder="1" applyAlignment="1">
      <alignment horizontal="center"/>
    </xf>
    <xf numFmtId="3" fontId="0" fillId="5" borderId="1" xfId="0" applyNumberFormat="1" applyFill="1" applyBorder="1" applyAlignment="1">
      <alignment horizontal="center" vertical="center"/>
    </xf>
    <xf numFmtId="3" fontId="0" fillId="5" borderId="24" xfId="0" applyNumberFormat="1" applyFill="1" applyBorder="1" applyAlignment="1">
      <alignment horizontal="center" vertical="center"/>
    </xf>
    <xf numFmtId="3" fontId="0" fillId="5" borderId="11" xfId="0" applyNumberFormat="1" applyFill="1" applyBorder="1" applyAlignment="1">
      <alignment horizontal="center" vertical="center"/>
    </xf>
    <xf numFmtId="3" fontId="0" fillId="5" borderId="12" xfId="0" applyNumberFormat="1" applyFill="1" applyBorder="1" applyAlignment="1">
      <alignment horizontal="center" vertical="center"/>
    </xf>
    <xf numFmtId="0" fontId="0" fillId="0" borderId="24" xfId="0" applyBorder="1" applyAlignment="1">
      <alignment horizontal="center"/>
    </xf>
    <xf numFmtId="171" fontId="0" fillId="0" borderId="1" xfId="0" applyNumberFormat="1" applyBorder="1" applyAlignment="1">
      <alignment horizontal="center"/>
    </xf>
    <xf numFmtId="0" fontId="43" fillId="5" borderId="0" xfId="0" applyFont="1" applyFill="1" applyBorder="1"/>
    <xf numFmtId="0" fontId="37" fillId="4" borderId="34" xfId="0" applyFont="1" applyFill="1" applyBorder="1" applyAlignment="1">
      <alignment horizontal="center"/>
    </xf>
    <xf numFmtId="1" fontId="0" fillId="5" borderId="1" xfId="0" applyNumberFormat="1" applyFill="1" applyBorder="1" applyAlignment="1">
      <alignment horizontal="center"/>
    </xf>
    <xf numFmtId="3" fontId="0" fillId="5" borderId="1" xfId="0" applyNumberFormat="1" applyFill="1" applyBorder="1" applyAlignment="1">
      <alignment horizontal="center"/>
    </xf>
    <xf numFmtId="0" fontId="4" fillId="4" borderId="7" xfId="0" applyFont="1" applyFill="1" applyBorder="1" applyAlignment="1">
      <alignment horizontal="center"/>
    </xf>
    <xf numFmtId="10" fontId="0" fillId="5" borderId="23" xfId="0" applyNumberFormat="1" applyFill="1" applyBorder="1" applyAlignment="1">
      <alignment horizontal="center"/>
    </xf>
    <xf numFmtId="10" fontId="0" fillId="5" borderId="24" xfId="0" applyNumberFormat="1" applyFill="1" applyBorder="1" applyAlignment="1">
      <alignment horizontal="center"/>
    </xf>
    <xf numFmtId="10" fontId="0" fillId="5" borderId="31" xfId="0" applyNumberFormat="1" applyFill="1" applyBorder="1" applyAlignment="1">
      <alignment horizontal="center"/>
    </xf>
    <xf numFmtId="10" fontId="0" fillId="5" borderId="95" xfId="0" applyNumberFormat="1" applyFill="1" applyBorder="1" applyAlignment="1">
      <alignment horizontal="center"/>
    </xf>
    <xf numFmtId="10" fontId="0" fillId="5" borderId="10" xfId="0" applyNumberFormat="1" applyFill="1" applyBorder="1" applyAlignment="1">
      <alignment horizontal="center"/>
    </xf>
    <xf numFmtId="10" fontId="0" fillId="5" borderId="11" xfId="0" applyNumberFormat="1" applyFill="1" applyBorder="1" applyAlignment="1">
      <alignment horizontal="center"/>
    </xf>
    <xf numFmtId="10" fontId="0" fillId="5" borderId="12" xfId="0" applyNumberFormat="1" applyFill="1" applyBorder="1" applyAlignment="1">
      <alignment horizontal="center"/>
    </xf>
    <xf numFmtId="0" fontId="7" fillId="19" borderId="18" xfId="0" applyFont="1" applyFill="1" applyBorder="1" applyAlignment="1">
      <alignment horizontal="center"/>
    </xf>
    <xf numFmtId="0" fontId="7" fillId="20" borderId="64" xfId="0" applyFont="1" applyFill="1" applyBorder="1" applyAlignment="1">
      <alignment horizontal="center"/>
    </xf>
    <xf numFmtId="0" fontId="37" fillId="4" borderId="95" xfId="0" applyFont="1" applyFill="1" applyBorder="1" applyAlignment="1">
      <alignment horizontal="center"/>
    </xf>
    <xf numFmtId="9" fontId="0" fillId="5" borderId="75" xfId="0" applyNumberFormat="1" applyFill="1" applyBorder="1" applyAlignment="1">
      <alignment horizontal="center"/>
    </xf>
    <xf numFmtId="10" fontId="0" fillId="5" borderId="75" xfId="0" applyNumberFormat="1" applyFill="1" applyBorder="1" applyAlignment="1">
      <alignment horizontal="center"/>
    </xf>
    <xf numFmtId="0" fontId="0" fillId="0" borderId="23" xfId="0" applyBorder="1" applyAlignment="1">
      <alignment horizontal="left"/>
    </xf>
    <xf numFmtId="4" fontId="0" fillId="0" borderId="24" xfId="0" applyNumberFormat="1" applyBorder="1" applyAlignment="1">
      <alignment horizontal="center"/>
    </xf>
    <xf numFmtId="0" fontId="0" fillId="6" borderId="23" xfId="0" applyFill="1" applyBorder="1" applyAlignment="1">
      <alignment horizontal="left"/>
    </xf>
    <xf numFmtId="0" fontId="0" fillId="5" borderId="24" xfId="0" applyFill="1" applyBorder="1" applyAlignment="1">
      <alignment horizontal="center"/>
    </xf>
    <xf numFmtId="1" fontId="0" fillId="5" borderId="24" xfId="0" applyNumberFormat="1" applyFill="1" applyBorder="1" applyAlignment="1">
      <alignment horizontal="center"/>
    </xf>
    <xf numFmtId="174" fontId="0" fillId="0" borderId="11" xfId="0" applyNumberFormat="1" applyBorder="1" applyAlignment="1">
      <alignment horizontal="center"/>
    </xf>
    <xf numFmtId="0" fontId="0" fillId="0" borderId="1" xfId="0" applyBorder="1" applyAlignment="1">
      <alignment horizontal="center" vertical="center"/>
    </xf>
    <xf numFmtId="3" fontId="0" fillId="0" borderId="24" xfId="0" applyNumberFormat="1" applyBorder="1" applyAlignment="1">
      <alignment horizontal="center"/>
    </xf>
    <xf numFmtId="0" fontId="0" fillId="6" borderId="10" xfId="0" applyFill="1" applyBorder="1" applyAlignment="1">
      <alignment horizontal="left"/>
    </xf>
    <xf numFmtId="0" fontId="0" fillId="5" borderId="23" xfId="0" applyFill="1" applyBorder="1" applyAlignment="1">
      <alignment horizontal="left"/>
    </xf>
    <xf numFmtId="3" fontId="0" fillId="0" borderId="0" xfId="0" applyNumberFormat="1"/>
    <xf numFmtId="174" fontId="28" fillId="0" borderId="1" xfId="1" applyNumberFormat="1" applyFont="1" applyBorder="1" applyAlignment="1">
      <alignment horizontal="center" vertical="center"/>
    </xf>
    <xf numFmtId="174" fontId="28" fillId="0" borderId="24" xfId="1" applyNumberFormat="1" applyFont="1" applyBorder="1" applyAlignment="1">
      <alignment horizontal="center" vertical="center"/>
    </xf>
    <xf numFmtId="9" fontId="25" fillId="5" borderId="1" xfId="4" applyFont="1" applyFill="1" applyBorder="1" applyAlignment="1">
      <alignment horizontal="center"/>
    </xf>
    <xf numFmtId="2" fontId="23" fillId="5" borderId="99" xfId="4" applyNumberFormat="1" applyFont="1" applyFill="1" applyBorder="1" applyAlignment="1">
      <alignment horizontal="center"/>
    </xf>
    <xf numFmtId="1" fontId="46" fillId="0" borderId="1" xfId="0" applyNumberFormat="1" applyFont="1" applyBorder="1" applyAlignment="1">
      <alignment horizontal="center"/>
    </xf>
    <xf numFmtId="174" fontId="46" fillId="0" borderId="1" xfId="0" applyNumberFormat="1" applyFont="1" applyBorder="1" applyAlignment="1">
      <alignment horizontal="center"/>
    </xf>
    <xf numFmtId="171" fontId="46" fillId="0" borderId="1" xfId="4" applyNumberFormat="1" applyFont="1" applyBorder="1" applyAlignment="1">
      <alignment horizontal="center"/>
    </xf>
    <xf numFmtId="0" fontId="37" fillId="5" borderId="0" xfId="0" applyFont="1" applyFill="1" applyBorder="1" applyAlignment="1">
      <alignment vertical="center"/>
    </xf>
    <xf numFmtId="171" fontId="51" fillId="5" borderId="12" xfId="0" applyNumberFormat="1" applyFont="1" applyFill="1" applyBorder="1" applyAlignment="1">
      <alignment horizontal="center"/>
    </xf>
    <xf numFmtId="0" fontId="37" fillId="15" borderId="101" xfId="0" applyFont="1" applyFill="1" applyBorder="1" applyAlignment="1">
      <alignment horizontal="center"/>
    </xf>
    <xf numFmtId="0" fontId="37" fillId="4" borderId="93" xfId="0" applyFont="1" applyFill="1" applyBorder="1" applyAlignment="1">
      <alignment horizontal="center" vertical="center"/>
    </xf>
    <xf numFmtId="1" fontId="1" fillId="0" borderId="6" xfId="0" applyNumberFormat="1" applyFont="1" applyBorder="1" applyAlignment="1">
      <alignment horizontal="center" vertical="center"/>
    </xf>
    <xf numFmtId="1" fontId="1" fillId="0" borderId="1" xfId="0" applyNumberFormat="1" applyFont="1" applyBorder="1" applyAlignment="1">
      <alignment horizontal="center" vertical="center"/>
    </xf>
    <xf numFmtId="0" fontId="37" fillId="4" borderId="23" xfId="0" applyFont="1" applyFill="1" applyBorder="1" applyAlignment="1">
      <alignment horizontal="center"/>
    </xf>
    <xf numFmtId="165" fontId="37" fillId="4" borderId="1" xfId="0" applyNumberFormat="1" applyFont="1" applyFill="1" applyBorder="1"/>
    <xf numFmtId="10" fontId="10" fillId="0" borderId="22" xfId="1" applyNumberFormat="1" applyFont="1" applyBorder="1"/>
    <xf numFmtId="0" fontId="10" fillId="6" borderId="10" xfId="0" applyFont="1" applyFill="1" applyBorder="1" applyAlignment="1">
      <alignment vertical="center"/>
    </xf>
    <xf numFmtId="0" fontId="9" fillId="4" borderId="28" xfId="0" applyFont="1" applyFill="1" applyBorder="1" applyAlignment="1">
      <alignment vertical="center"/>
    </xf>
    <xf numFmtId="168" fontId="9" fillId="4" borderId="29" xfId="0" applyNumberFormat="1" applyFont="1" applyFill="1" applyBorder="1" applyAlignment="1">
      <alignment horizontal="right" vertical="center"/>
    </xf>
    <xf numFmtId="0" fontId="9" fillId="4" borderId="29" xfId="0" applyFont="1" applyFill="1" applyBorder="1" applyAlignment="1">
      <alignment horizontal="right" vertical="center"/>
    </xf>
    <xf numFmtId="0" fontId="9" fillId="4" borderId="30" xfId="0" applyFont="1" applyFill="1" applyBorder="1" applyAlignment="1">
      <alignment horizontal="right" vertical="center"/>
    </xf>
    <xf numFmtId="0" fontId="75" fillId="0" borderId="0" xfId="0" applyFont="1" applyAlignment="1">
      <alignment vertical="center"/>
    </xf>
    <xf numFmtId="0" fontId="1" fillId="19" borderId="37" xfId="0" applyFont="1" applyFill="1" applyBorder="1" applyAlignment="1">
      <alignment horizontal="center"/>
    </xf>
    <xf numFmtId="0" fontId="1" fillId="20" borderId="27" xfId="0" applyFont="1" applyFill="1" applyBorder="1" applyAlignment="1">
      <alignment horizontal="center"/>
    </xf>
    <xf numFmtId="0" fontId="75" fillId="0" borderId="21" xfId="0" applyFont="1" applyBorder="1" applyAlignment="1">
      <alignment vertical="center"/>
    </xf>
    <xf numFmtId="0" fontId="75" fillId="0" borderId="77" xfId="0" applyFont="1" applyBorder="1" applyAlignment="1">
      <alignment vertical="center"/>
    </xf>
    <xf numFmtId="0" fontId="75" fillId="0" borderId="0" xfId="0" applyFont="1" applyBorder="1" applyAlignment="1">
      <alignment vertical="center"/>
    </xf>
    <xf numFmtId="0" fontId="89" fillId="0" borderId="0" xfId="0" applyFont="1" applyAlignment="1">
      <alignment vertical="center"/>
    </xf>
    <xf numFmtId="0" fontId="90" fillId="0" borderId="0" xfId="2" applyFont="1" applyBorder="1" applyAlignment="1" applyProtection="1">
      <alignment vertical="center"/>
    </xf>
    <xf numFmtId="0" fontId="37" fillId="4" borderId="7" xfId="0" applyFont="1" applyFill="1" applyBorder="1" applyAlignment="1">
      <alignment horizontal="center"/>
    </xf>
    <xf numFmtId="0" fontId="37" fillId="4" borderId="88" xfId="0" applyFont="1" applyFill="1" applyBorder="1" applyAlignment="1">
      <alignment horizontal="center"/>
    </xf>
    <xf numFmtId="10" fontId="1" fillId="5" borderId="10" xfId="0" applyNumberFormat="1" applyFont="1" applyFill="1" applyBorder="1" applyAlignment="1">
      <alignment horizontal="center"/>
    </xf>
    <xf numFmtId="10" fontId="1" fillId="5" borderId="11" xfId="0" applyNumberFormat="1" applyFont="1" applyFill="1" applyBorder="1" applyAlignment="1">
      <alignment horizontal="center"/>
    </xf>
    <xf numFmtId="10" fontId="1" fillId="5" borderId="12" xfId="0" applyNumberFormat="1" applyFont="1" applyFill="1" applyBorder="1" applyAlignment="1">
      <alignment horizontal="center"/>
    </xf>
    <xf numFmtId="10" fontId="1" fillId="5" borderId="0" xfId="0" applyNumberFormat="1" applyFont="1" applyFill="1" applyBorder="1" applyAlignment="1">
      <alignment horizontal="center"/>
    </xf>
    <xf numFmtId="0" fontId="37" fillId="4" borderId="15" xfId="0" applyFont="1" applyFill="1" applyBorder="1" applyAlignment="1">
      <alignment horizontal="center"/>
    </xf>
    <xf numFmtId="0" fontId="37" fillId="4" borderId="13" xfId="0" applyFont="1" applyFill="1" applyBorder="1" applyAlignment="1">
      <alignment horizontal="center"/>
    </xf>
    <xf numFmtId="10" fontId="1" fillId="5" borderId="21" xfId="0" applyNumberFormat="1" applyFont="1" applyFill="1" applyBorder="1" applyAlignment="1">
      <alignment horizontal="center"/>
    </xf>
    <xf numFmtId="10" fontId="1" fillId="5" borderId="22" xfId="0" applyNumberFormat="1" applyFont="1" applyFill="1" applyBorder="1" applyAlignment="1">
      <alignment horizontal="center"/>
    </xf>
    <xf numFmtId="171" fontId="1" fillId="5" borderId="23" xfId="0" applyNumberFormat="1" applyFont="1" applyFill="1" applyBorder="1" applyAlignment="1">
      <alignment horizontal="center"/>
    </xf>
    <xf numFmtId="171" fontId="1" fillId="5" borderId="1" xfId="0" applyNumberFormat="1" applyFont="1" applyFill="1" applyBorder="1" applyAlignment="1">
      <alignment horizontal="center"/>
    </xf>
    <xf numFmtId="171" fontId="1" fillId="5" borderId="24" xfId="0" applyNumberFormat="1" applyFont="1" applyFill="1" applyBorder="1" applyAlignment="1">
      <alignment horizontal="center"/>
    </xf>
    <xf numFmtId="174" fontId="1" fillId="5" borderId="23" xfId="0" applyNumberFormat="1" applyFont="1" applyFill="1" applyBorder="1" applyAlignment="1">
      <alignment horizontal="center"/>
    </xf>
    <xf numFmtId="174" fontId="1" fillId="5" borderId="1" xfId="0" applyNumberFormat="1" applyFont="1" applyFill="1" applyBorder="1" applyAlignment="1">
      <alignment horizontal="center"/>
    </xf>
    <xf numFmtId="174" fontId="1" fillId="5" borderId="24" xfId="0" applyNumberFormat="1" applyFont="1" applyFill="1" applyBorder="1" applyAlignment="1">
      <alignment horizontal="center"/>
    </xf>
    <xf numFmtId="171" fontId="1" fillId="5" borderId="10" xfId="0" applyNumberFormat="1" applyFont="1" applyFill="1" applyBorder="1" applyAlignment="1">
      <alignment horizontal="center"/>
    </xf>
    <xf numFmtId="171" fontId="1" fillId="5" borderId="11" xfId="0" applyNumberFormat="1" applyFont="1" applyFill="1" applyBorder="1" applyAlignment="1">
      <alignment horizontal="center"/>
    </xf>
    <xf numFmtId="171" fontId="1" fillId="5" borderId="12" xfId="0" applyNumberFormat="1" applyFont="1" applyFill="1" applyBorder="1" applyAlignment="1">
      <alignment horizontal="center"/>
    </xf>
    <xf numFmtId="171" fontId="51" fillId="0" borderId="1" xfId="0" applyNumberFormat="1" applyFont="1" applyBorder="1" applyAlignment="1">
      <alignment horizontal="center"/>
    </xf>
    <xf numFmtId="171" fontId="51" fillId="0" borderId="24" xfId="0" applyNumberFormat="1" applyFont="1" applyBorder="1" applyAlignment="1">
      <alignment horizontal="center"/>
    </xf>
    <xf numFmtId="10" fontId="51" fillId="5" borderId="24" xfId="0" applyNumberFormat="1" applyFont="1" applyFill="1" applyBorder="1" applyAlignment="1">
      <alignment horizontal="center"/>
    </xf>
    <xf numFmtId="2" fontId="1" fillId="7" borderId="1" xfId="0" applyNumberFormat="1" applyFont="1" applyFill="1" applyBorder="1" applyAlignment="1">
      <alignment horizontal="center"/>
    </xf>
    <xf numFmtId="2" fontId="1" fillId="7" borderId="24" xfId="0" applyNumberFormat="1" applyFont="1" applyFill="1" applyBorder="1" applyAlignment="1">
      <alignment horizontal="center"/>
    </xf>
    <xf numFmtId="0" fontId="54" fillId="0" borderId="0" xfId="2" applyFont="1" applyAlignment="1" applyProtection="1"/>
    <xf numFmtId="0" fontId="75" fillId="0" borderId="0" xfId="0" applyFont="1" applyAlignment="1">
      <alignment vertical="top"/>
    </xf>
    <xf numFmtId="0" fontId="91" fillId="0" borderId="0" xfId="0" applyFont="1" applyAlignment="1">
      <alignment horizontal="left" vertical="center"/>
    </xf>
    <xf numFmtId="0" fontId="54" fillId="0" borderId="0" xfId="2" applyFont="1" applyBorder="1" applyAlignment="1" applyProtection="1">
      <alignment horizontal="left" vertical="center"/>
    </xf>
    <xf numFmtId="0" fontId="36" fillId="0" borderId="21" xfId="2" applyFont="1" applyBorder="1" applyAlignment="1" applyProtection="1">
      <alignment vertical="center"/>
    </xf>
    <xf numFmtId="0" fontId="94" fillId="0" borderId="0" xfId="0" applyFont="1"/>
    <xf numFmtId="0" fontId="55" fillId="0" borderId="0" xfId="0" applyFont="1"/>
    <xf numFmtId="0" fontId="0" fillId="0" borderId="27" xfId="0" applyBorder="1"/>
    <xf numFmtId="0" fontId="1" fillId="0" borderId="36" xfId="0" applyFont="1" applyBorder="1"/>
    <xf numFmtId="0" fontId="0" fillId="0" borderId="64" xfId="0" applyBorder="1"/>
    <xf numFmtId="0" fontId="0" fillId="0" borderId="37" xfId="0" applyBorder="1"/>
    <xf numFmtId="0" fontId="0" fillId="0" borderId="97" xfId="0" applyBorder="1"/>
    <xf numFmtId="0" fontId="0" fillId="0" borderId="100" xfId="0" applyBorder="1"/>
    <xf numFmtId="0" fontId="0" fillId="0" borderId="20" xfId="0" applyBorder="1"/>
    <xf numFmtId="0" fontId="0" fillId="0" borderId="107" xfId="0" applyBorder="1"/>
    <xf numFmtId="0" fontId="0" fillId="0" borderId="109" xfId="0" applyBorder="1"/>
    <xf numFmtId="0" fontId="0" fillId="0" borderId="110" xfId="0" applyBorder="1"/>
    <xf numFmtId="0" fontId="0" fillId="0" borderId="111" xfId="0" applyBorder="1"/>
    <xf numFmtId="0" fontId="0" fillId="0" borderId="113" xfId="0" applyBorder="1"/>
    <xf numFmtId="0" fontId="0" fillId="0" borderId="18" xfId="0" applyBorder="1"/>
    <xf numFmtId="0" fontId="0" fillId="0" borderId="117" xfId="0" applyBorder="1"/>
    <xf numFmtId="0" fontId="0" fillId="0" borderId="120" xfId="0" applyBorder="1"/>
    <xf numFmtId="0" fontId="0" fillId="0" borderId="121" xfId="0" applyBorder="1"/>
    <xf numFmtId="0" fontId="0" fillId="0" borderId="126" xfId="0" applyBorder="1"/>
    <xf numFmtId="0" fontId="0" fillId="0" borderId="129" xfId="0" applyBorder="1"/>
    <xf numFmtId="0" fontId="0" fillId="0" borderId="130" xfId="0" applyBorder="1"/>
    <xf numFmtId="0" fontId="0" fillId="0" borderId="134" xfId="0" applyBorder="1"/>
    <xf numFmtId="0" fontId="0" fillId="0" borderId="136" xfId="0" applyBorder="1"/>
    <xf numFmtId="0" fontId="0" fillId="0" borderId="137" xfId="0" applyBorder="1"/>
    <xf numFmtId="0" fontId="0" fillId="0" borderId="138" xfId="0" applyBorder="1"/>
    <xf numFmtId="0" fontId="1" fillId="0" borderId="0" xfId="0" applyFont="1" applyBorder="1" applyAlignment="1">
      <alignment vertical="center"/>
    </xf>
    <xf numFmtId="0" fontId="1" fillId="0" borderId="113" xfId="0" applyFont="1" applyBorder="1"/>
    <xf numFmtId="0" fontId="1" fillId="0" borderId="122" xfId="0" applyFont="1" applyBorder="1" applyAlignment="1">
      <alignment vertical="center"/>
    </xf>
    <xf numFmtId="0" fontId="54" fillId="0" borderId="110" xfId="2" applyFont="1" applyBorder="1" applyAlignment="1" applyProtection="1">
      <alignment horizontal="center"/>
    </xf>
    <xf numFmtId="0" fontId="54" fillId="0" borderId="100" xfId="2" applyFont="1" applyBorder="1" applyAlignment="1" applyProtection="1">
      <alignment horizontal="center"/>
    </xf>
    <xf numFmtId="9" fontId="54" fillId="0" borderId="100" xfId="2" applyNumberFormat="1" applyFont="1" applyBorder="1" applyAlignment="1" applyProtection="1">
      <alignment horizontal="center" vertical="center"/>
    </xf>
    <xf numFmtId="0" fontId="54" fillId="0" borderId="23" xfId="2" applyFont="1" applyBorder="1" applyAlignment="1" applyProtection="1"/>
    <xf numFmtId="9" fontId="54" fillId="0" borderId="23" xfId="2" applyNumberFormat="1" applyFont="1" applyBorder="1" applyAlignment="1" applyProtection="1">
      <alignment vertical="center"/>
    </xf>
    <xf numFmtId="0" fontId="54" fillId="0" borderId="97" xfId="2" applyFont="1" applyBorder="1" applyAlignment="1" applyProtection="1">
      <alignment horizontal="center"/>
    </xf>
    <xf numFmtId="0" fontId="54" fillId="0" borderId="20" xfId="2" applyFont="1" applyBorder="1" applyAlignment="1" applyProtection="1">
      <alignment horizontal="center"/>
    </xf>
    <xf numFmtId="0" fontId="96" fillId="0" borderId="137" xfId="0" applyFont="1" applyBorder="1"/>
    <xf numFmtId="0" fontId="54" fillId="0" borderId="137" xfId="2" applyFont="1" applyBorder="1" applyAlignment="1" applyProtection="1">
      <alignment horizontal="center"/>
    </xf>
    <xf numFmtId="9" fontId="54" fillId="0" borderId="137" xfId="2" applyNumberFormat="1" applyFont="1" applyBorder="1" applyAlignment="1" applyProtection="1">
      <alignment horizontal="center" vertical="center"/>
    </xf>
    <xf numFmtId="0" fontId="96" fillId="0" borderId="128" xfId="0" applyFont="1" applyBorder="1"/>
    <xf numFmtId="0" fontId="96" fillId="0" borderId="0" xfId="0" applyFont="1" applyBorder="1"/>
    <xf numFmtId="0" fontId="96" fillId="0" borderId="97" xfId="0" applyFont="1" applyBorder="1"/>
    <xf numFmtId="0" fontId="96" fillId="0" borderId="119" xfId="0" applyFont="1" applyBorder="1"/>
    <xf numFmtId="0" fontId="96" fillId="0" borderId="129" xfId="0" applyFont="1" applyBorder="1"/>
    <xf numFmtId="0" fontId="96" fillId="0" borderId="100" xfId="0" applyFont="1" applyBorder="1"/>
    <xf numFmtId="0" fontId="96" fillId="0" borderId="120" xfId="0" applyFont="1" applyBorder="1"/>
    <xf numFmtId="0" fontId="54" fillId="0" borderId="129" xfId="2" applyFont="1" applyBorder="1" applyAlignment="1" applyProtection="1">
      <alignment horizontal="center"/>
    </xf>
    <xf numFmtId="0" fontId="54" fillId="0" borderId="120" xfId="2" applyFont="1" applyBorder="1" applyAlignment="1" applyProtection="1">
      <alignment horizontal="center"/>
    </xf>
    <xf numFmtId="9" fontId="54" fillId="0" borderId="129" xfId="2" applyNumberFormat="1" applyFont="1" applyBorder="1" applyAlignment="1" applyProtection="1">
      <alignment horizontal="center" vertical="center"/>
    </xf>
    <xf numFmtId="9" fontId="54" fillId="0" borderId="120" xfId="2" applyNumberFormat="1" applyFont="1" applyBorder="1" applyAlignment="1" applyProtection="1">
      <alignment horizontal="center" vertical="center"/>
    </xf>
    <xf numFmtId="0" fontId="97" fillId="4" borderId="108" xfId="2" applyFont="1" applyFill="1" applyBorder="1" applyAlignment="1" applyProtection="1">
      <alignment horizontal="center"/>
    </xf>
    <xf numFmtId="0" fontId="37" fillId="0" borderId="0" xfId="0" applyFont="1" applyBorder="1"/>
    <xf numFmtId="0" fontId="37" fillId="0" borderId="0" xfId="0" applyFont="1" applyBorder="1" applyAlignment="1">
      <alignment horizontal="center"/>
    </xf>
    <xf numFmtId="0" fontId="97" fillId="4" borderId="13" xfId="2" applyFont="1" applyFill="1" applyBorder="1" applyAlignment="1" applyProtection="1">
      <alignment horizontal="center"/>
    </xf>
    <xf numFmtId="0" fontId="97" fillId="4" borderId="135" xfId="2" applyFont="1" applyFill="1" applyBorder="1" applyAlignment="1" applyProtection="1">
      <alignment horizontal="center"/>
    </xf>
    <xf numFmtId="0" fontId="97" fillId="4" borderId="127" xfId="2" applyFont="1" applyFill="1" applyBorder="1" applyAlignment="1" applyProtection="1">
      <alignment horizontal="center"/>
    </xf>
    <xf numFmtId="0" fontId="97" fillId="4" borderId="118" xfId="2" applyFont="1" applyFill="1" applyBorder="1" applyAlignment="1" applyProtection="1">
      <alignment horizontal="center"/>
    </xf>
    <xf numFmtId="0" fontId="54" fillId="0" borderId="10" xfId="2" applyFont="1" applyBorder="1" applyAlignment="1" applyProtection="1"/>
    <xf numFmtId="9" fontId="54" fillId="0" borderId="10" xfId="2" applyNumberFormat="1" applyFont="1" applyBorder="1" applyAlignment="1" applyProtection="1">
      <alignment vertical="center"/>
    </xf>
    <xf numFmtId="10" fontId="12" fillId="0" borderId="1" xfId="0" applyNumberFormat="1" applyFont="1" applyBorder="1" applyAlignment="1">
      <alignment horizontal="center" vertical="center"/>
    </xf>
    <xf numFmtId="10" fontId="12" fillId="0" borderId="11" xfId="0" applyNumberFormat="1" applyFont="1" applyBorder="1" applyAlignment="1">
      <alignment horizontal="center" vertical="center"/>
    </xf>
    <xf numFmtId="0" fontId="8" fillId="0" borderId="7" xfId="0" applyFont="1" applyBorder="1" applyAlignment="1">
      <alignment horizontal="center"/>
    </xf>
    <xf numFmtId="0" fontId="8" fillId="0" borderId="23" xfId="0" applyFont="1" applyBorder="1" applyAlignment="1">
      <alignment horizontal="center"/>
    </xf>
    <xf numFmtId="166" fontId="12" fillId="0" borderId="24" xfId="0" applyNumberFormat="1" applyFont="1" applyBorder="1" applyAlignment="1">
      <alignment vertical="center"/>
    </xf>
    <xf numFmtId="166" fontId="12" fillId="0" borderId="12" xfId="0" applyNumberFormat="1" applyFont="1" applyBorder="1" applyAlignment="1">
      <alignment vertical="center"/>
    </xf>
    <xf numFmtId="0" fontId="54" fillId="0" borderId="23" xfId="2" applyFont="1" applyBorder="1" applyAlignment="1" applyProtection="1">
      <alignment vertical="center"/>
    </xf>
    <xf numFmtId="0" fontId="54" fillId="0" borderId="1" xfId="2" applyFont="1" applyBorder="1" applyAlignment="1" applyProtection="1">
      <alignment vertical="center"/>
    </xf>
    <xf numFmtId="0" fontId="8" fillId="0" borderId="1" xfId="0" applyFont="1" applyBorder="1"/>
    <xf numFmtId="0" fontId="8" fillId="0" borderId="1" xfId="0" applyFont="1" applyBorder="1" applyAlignment="1">
      <alignment horizontal="center"/>
    </xf>
    <xf numFmtId="9" fontId="8" fillId="12" borderId="1" xfId="0" applyNumberFormat="1" applyFont="1" applyFill="1" applyBorder="1" applyAlignment="1">
      <alignment horizontal="center" vertical="center"/>
    </xf>
    <xf numFmtId="1" fontId="8" fillId="0" borderId="1" xfId="0" applyNumberFormat="1" applyFont="1" applyBorder="1" applyAlignment="1">
      <alignment horizontal="center" vertical="center"/>
    </xf>
    <xf numFmtId="0" fontId="99" fillId="6" borderId="23" xfId="2" applyFont="1" applyFill="1" applyBorder="1" applyAlignment="1" applyProtection="1">
      <alignment vertical="center"/>
    </xf>
    <xf numFmtId="0" fontId="8" fillId="5" borderId="0" xfId="0" applyFont="1" applyFill="1" applyBorder="1" applyAlignment="1">
      <alignment horizontal="center"/>
    </xf>
    <xf numFmtId="0" fontId="8" fillId="5" borderId="0" xfId="0" applyFont="1" applyFill="1"/>
    <xf numFmtId="0" fontId="5" fillId="4" borderId="10" xfId="2" applyFont="1" applyFill="1" applyBorder="1" applyAlignment="1" applyProtection="1">
      <alignment horizontal="center"/>
    </xf>
    <xf numFmtId="0" fontId="54" fillId="0" borderId="23" xfId="2" applyFont="1" applyBorder="1" applyAlignment="1" applyProtection="1">
      <alignment horizontal="left"/>
    </xf>
    <xf numFmtId="0" fontId="100" fillId="0" borderId="23" xfId="2" applyFont="1" applyBorder="1" applyAlignment="1" applyProtection="1"/>
    <xf numFmtId="0" fontId="101" fillId="4" borderId="88" xfId="2" applyFont="1" applyFill="1" applyBorder="1" applyAlignment="1" applyProtection="1">
      <alignment horizontal="center"/>
    </xf>
    <xf numFmtId="0" fontId="97" fillId="4" borderId="8" xfId="2" applyFont="1" applyFill="1" applyBorder="1" applyAlignment="1" applyProtection="1">
      <alignment horizontal="center" vertical="center"/>
    </xf>
    <xf numFmtId="0" fontId="102" fillId="0" borderId="10" xfId="2" applyFont="1" applyBorder="1" applyAlignment="1" applyProtection="1">
      <alignment horizontal="center"/>
    </xf>
    <xf numFmtId="171" fontId="7" fillId="5" borderId="0" xfId="0" applyNumberFormat="1" applyFont="1" applyFill="1" applyBorder="1"/>
    <xf numFmtId="0" fontId="98" fillId="5" borderId="21" xfId="2" applyFont="1" applyFill="1" applyBorder="1" applyAlignment="1" applyProtection="1">
      <alignment horizontal="left"/>
    </xf>
    <xf numFmtId="0" fontId="98" fillId="5" borderId="0" xfId="2" applyFont="1" applyFill="1" applyBorder="1" applyAlignment="1" applyProtection="1">
      <alignment horizontal="left"/>
    </xf>
    <xf numFmtId="171" fontId="7" fillId="5" borderId="22" xfId="0" applyNumberFormat="1" applyFont="1" applyFill="1" applyBorder="1"/>
    <xf numFmtId="2" fontId="1" fillId="0" borderId="1" xfId="0" applyNumberFormat="1" applyFont="1" applyBorder="1" applyAlignment="1">
      <alignment horizontal="center" vertical="center"/>
    </xf>
    <xf numFmtId="10" fontId="0" fillId="5" borderId="1" xfId="0" applyNumberFormat="1" applyFill="1" applyBorder="1" applyAlignment="1">
      <alignment horizontal="center"/>
    </xf>
    <xf numFmtId="10" fontId="0" fillId="12" borderId="11" xfId="0" applyNumberFormat="1" applyFill="1" applyBorder="1" applyAlignment="1">
      <alignment horizontal="center"/>
    </xf>
    <xf numFmtId="0" fontId="0" fillId="12" borderId="1" xfId="0" applyFill="1" applyBorder="1" applyAlignment="1">
      <alignment horizontal="center" vertical="center"/>
    </xf>
    <xf numFmtId="0" fontId="54" fillId="0" borderId="1" xfId="2" applyFont="1" applyBorder="1" applyAlignment="1" applyProtection="1">
      <alignment horizontal="center"/>
    </xf>
    <xf numFmtId="0" fontId="54" fillId="0" borderId="24" xfId="2" applyFont="1" applyBorder="1" applyAlignment="1" applyProtection="1">
      <alignment horizontal="center"/>
    </xf>
    <xf numFmtId="0" fontId="0" fillId="0" borderId="0" xfId="0" quotePrefix="1"/>
    <xf numFmtId="10" fontId="0" fillId="0" borderId="1" xfId="0" applyNumberFormat="1" applyFill="1" applyBorder="1" applyAlignment="1">
      <alignment horizontal="center"/>
    </xf>
    <xf numFmtId="1" fontId="7" fillId="21" borderId="74" xfId="0" applyNumberFormat="1" applyFont="1" applyFill="1" applyBorder="1" applyAlignment="1">
      <alignment vertical="center"/>
    </xf>
    <xf numFmtId="0" fontId="37" fillId="4" borderId="1" xfId="0" applyFont="1" applyFill="1" applyBorder="1" applyAlignment="1">
      <alignment horizontal="center" vertical="center"/>
    </xf>
    <xf numFmtId="171" fontId="7" fillId="5" borderId="1" xfId="0" applyNumberFormat="1" applyFont="1" applyFill="1" applyBorder="1"/>
    <xf numFmtId="171" fontId="7" fillId="5" borderId="24" xfId="0" applyNumberFormat="1" applyFont="1" applyFill="1" applyBorder="1"/>
    <xf numFmtId="171" fontId="7" fillId="5" borderId="11" xfId="0" applyNumberFormat="1" applyFont="1" applyFill="1" applyBorder="1"/>
    <xf numFmtId="171" fontId="7" fillId="5" borderId="12" xfId="0" applyNumberFormat="1" applyFont="1" applyFill="1" applyBorder="1"/>
    <xf numFmtId="169" fontId="7" fillId="5" borderId="8" xfId="1" applyNumberFormat="1" applyFont="1" applyFill="1" applyBorder="1"/>
    <xf numFmtId="169" fontId="7" fillId="5" borderId="9" xfId="1" applyNumberFormat="1" applyFont="1" applyFill="1" applyBorder="1"/>
    <xf numFmtId="49" fontId="19" fillId="5" borderId="0" xfId="0" applyNumberFormat="1" applyFont="1" applyFill="1" applyBorder="1" applyAlignment="1">
      <alignment horizontal="center" vertical="center"/>
    </xf>
    <xf numFmtId="9" fontId="19" fillId="5" borderId="0" xfId="0" applyNumberFormat="1" applyFont="1" applyFill="1" applyBorder="1" applyAlignment="1">
      <alignment horizontal="center" vertical="center"/>
    </xf>
    <xf numFmtId="0" fontId="7" fillId="5" borderId="0" xfId="0" applyFont="1" applyFill="1" applyBorder="1" applyAlignment="1">
      <alignment vertical="center"/>
    </xf>
    <xf numFmtId="43" fontId="7" fillId="5" borderId="0" xfId="0" applyNumberFormat="1" applyFont="1" applyFill="1" applyBorder="1" applyAlignment="1">
      <alignment vertical="center"/>
    </xf>
    <xf numFmtId="0" fontId="8" fillId="0" borderId="19" xfId="0" applyFont="1" applyBorder="1"/>
    <xf numFmtId="0" fontId="8" fillId="0" borderId="22" xfId="0" applyFont="1" applyBorder="1"/>
    <xf numFmtId="0" fontId="8" fillId="0" borderId="21" xfId="0" applyFont="1" applyBorder="1"/>
    <xf numFmtId="9" fontId="8" fillId="0" borderId="0" xfId="4" applyFont="1"/>
    <xf numFmtId="0" fontId="7" fillId="5" borderId="21" xfId="0" applyFont="1" applyFill="1" applyBorder="1"/>
    <xf numFmtId="166" fontId="7" fillId="5" borderId="0" xfId="0" applyNumberFormat="1" applyFont="1" applyFill="1" applyBorder="1" applyAlignment="1">
      <alignment vertical="center"/>
    </xf>
    <xf numFmtId="0" fontId="7" fillId="5" borderId="21" xfId="0" applyFont="1" applyFill="1" applyBorder="1" applyAlignment="1">
      <alignment vertical="center"/>
    </xf>
    <xf numFmtId="1" fontId="7" fillId="5" borderId="0" xfId="0" applyNumberFormat="1" applyFont="1" applyFill="1" applyBorder="1" applyAlignment="1">
      <alignment vertical="center"/>
    </xf>
    <xf numFmtId="0" fontId="8" fillId="5" borderId="25" xfId="0" applyFont="1" applyFill="1" applyBorder="1" applyAlignment="1">
      <alignment vertical="center"/>
    </xf>
    <xf numFmtId="0" fontId="8" fillId="5" borderId="26" xfId="0" applyFont="1" applyFill="1" applyBorder="1" applyAlignment="1">
      <alignment vertical="center"/>
    </xf>
    <xf numFmtId="166" fontId="8" fillId="5" borderId="37" xfId="0" applyNumberFormat="1" applyFont="1" applyFill="1" applyBorder="1" applyAlignment="1">
      <alignment vertical="center"/>
    </xf>
    <xf numFmtId="166" fontId="7" fillId="5" borderId="37" xfId="0" applyNumberFormat="1" applyFont="1" applyFill="1" applyBorder="1" applyAlignment="1">
      <alignment vertical="center"/>
    </xf>
    <xf numFmtId="166" fontId="8" fillId="0" borderId="37" xfId="0" applyNumberFormat="1" applyFont="1" applyBorder="1"/>
    <xf numFmtId="0" fontId="26" fillId="0" borderId="19" xfId="0" applyFont="1" applyBorder="1"/>
    <xf numFmtId="0" fontId="26" fillId="0" borderId="0" xfId="0" applyFont="1" applyBorder="1"/>
    <xf numFmtId="0" fontId="26" fillId="0" borderId="22" xfId="0" applyFont="1" applyBorder="1"/>
    <xf numFmtId="0" fontId="26" fillId="5" borderId="0" xfId="0" applyFont="1" applyFill="1" applyBorder="1"/>
    <xf numFmtId="0" fontId="26" fillId="5" borderId="22" xfId="0" applyFont="1" applyFill="1" applyBorder="1"/>
    <xf numFmtId="1" fontId="8" fillId="0" borderId="0" xfId="0" applyNumberFormat="1" applyFont="1"/>
    <xf numFmtId="0" fontId="19" fillId="5" borderId="0" xfId="0" applyFont="1" applyFill="1" applyBorder="1" applyAlignment="1">
      <alignment vertical="center"/>
    </xf>
    <xf numFmtId="0" fontId="12" fillId="0" borderId="0" xfId="0" applyFont="1"/>
    <xf numFmtId="43" fontId="19" fillId="5" borderId="0" xfId="0" applyNumberFormat="1" applyFont="1" applyFill="1" applyBorder="1" applyAlignment="1">
      <alignment vertical="center"/>
    </xf>
    <xf numFmtId="0" fontId="12" fillId="5" borderId="0" xfId="0" applyFont="1" applyFill="1"/>
    <xf numFmtId="0" fontId="19" fillId="5" borderId="13" xfId="0" applyFont="1" applyFill="1" applyBorder="1" applyAlignment="1">
      <alignment vertical="center"/>
    </xf>
    <xf numFmtId="0" fontId="19" fillId="0" borderId="13" xfId="0" applyFont="1" applyBorder="1"/>
    <xf numFmtId="1" fontId="19" fillId="5" borderId="13" xfId="0" applyNumberFormat="1" applyFont="1" applyFill="1" applyBorder="1" applyAlignment="1">
      <alignment horizontal="center" vertical="center"/>
    </xf>
    <xf numFmtId="1" fontId="19" fillId="5" borderId="26" xfId="0" applyNumberFormat="1" applyFont="1" applyFill="1" applyBorder="1" applyAlignment="1">
      <alignment horizontal="center" vertical="center"/>
    </xf>
    <xf numFmtId="3" fontId="19" fillId="12" borderId="13" xfId="0" applyNumberFormat="1" applyFont="1" applyFill="1" applyBorder="1" applyAlignment="1">
      <alignment horizontal="center" vertical="center"/>
    </xf>
    <xf numFmtId="0" fontId="9" fillId="4" borderId="25" xfId="0" applyFont="1" applyFill="1" applyBorder="1"/>
    <xf numFmtId="10" fontId="7" fillId="5" borderId="13" xfId="0" applyNumberFormat="1" applyFont="1" applyFill="1" applyBorder="1" applyAlignment="1">
      <alignment vertical="center"/>
    </xf>
    <xf numFmtId="3" fontId="7" fillId="0" borderId="13" xfId="0" applyNumberFormat="1" applyFont="1" applyBorder="1" applyAlignment="1">
      <alignment horizontal="center"/>
    </xf>
    <xf numFmtId="0" fontId="9" fillId="4" borderId="36" xfId="0" applyFont="1" applyFill="1" applyBorder="1" applyAlignment="1">
      <alignment vertical="center"/>
    </xf>
    <xf numFmtId="0" fontId="9" fillId="4" borderId="13" xfId="0" applyFont="1" applyFill="1" applyBorder="1" applyAlignment="1">
      <alignment vertical="center"/>
    </xf>
    <xf numFmtId="0" fontId="8" fillId="0" borderId="17" xfId="0" applyFont="1" applyBorder="1"/>
    <xf numFmtId="0" fontId="8" fillId="0" borderId="25" xfId="0" applyFont="1" applyBorder="1"/>
    <xf numFmtId="0" fontId="8" fillId="0" borderId="27" xfId="0" applyFont="1" applyBorder="1"/>
    <xf numFmtId="10" fontId="51" fillId="5" borderId="13" xfId="0" applyNumberFormat="1" applyFont="1" applyFill="1" applyBorder="1" applyAlignment="1">
      <alignment vertical="center"/>
    </xf>
    <xf numFmtId="171" fontId="51" fillId="5" borderId="13" xfId="0" applyNumberFormat="1" applyFont="1" applyFill="1" applyBorder="1" applyAlignment="1">
      <alignment vertical="center"/>
    </xf>
    <xf numFmtId="9" fontId="51" fillId="5" borderId="13" xfId="0" applyNumberFormat="1" applyFont="1" applyFill="1" applyBorder="1" applyAlignment="1">
      <alignment vertical="center"/>
    </xf>
    <xf numFmtId="0" fontId="51" fillId="5" borderId="22" xfId="0" applyFont="1" applyFill="1" applyBorder="1" applyAlignment="1">
      <alignment vertical="center"/>
    </xf>
    <xf numFmtId="0" fontId="49" fillId="4" borderId="13" xfId="0" applyFont="1" applyFill="1" applyBorder="1"/>
    <xf numFmtId="0" fontId="104" fillId="4" borderId="43" xfId="0" applyFont="1" applyFill="1" applyBorder="1" applyAlignment="1">
      <alignment horizontal="center" vertical="center"/>
    </xf>
    <xf numFmtId="0" fontId="105" fillId="5" borderId="0" xfId="0" applyFont="1" applyFill="1" applyAlignment="1"/>
    <xf numFmtId="0" fontId="1" fillId="17" borderId="21" xfId="0" applyFont="1" applyFill="1" applyBorder="1"/>
    <xf numFmtId="0" fontId="1" fillId="16" borderId="21" xfId="0" applyFont="1" applyFill="1" applyBorder="1"/>
    <xf numFmtId="0" fontId="1" fillId="9" borderId="21" xfId="0" applyFont="1" applyFill="1" applyBorder="1"/>
    <xf numFmtId="0" fontId="1" fillId="9" borderId="0" xfId="0" applyFont="1" applyFill="1" applyBorder="1"/>
    <xf numFmtId="0" fontId="1" fillId="9" borderId="22" xfId="0" applyFont="1" applyFill="1" applyBorder="1"/>
    <xf numFmtId="0" fontId="105" fillId="5" borderId="19" xfId="0" applyFont="1" applyFill="1" applyBorder="1" applyAlignment="1"/>
    <xf numFmtId="0" fontId="0" fillId="0" borderId="21" xfId="0" applyBorder="1" applyAlignment="1"/>
    <xf numFmtId="0" fontId="1" fillId="0" borderId="0" xfId="0" applyFont="1" applyBorder="1" applyAlignment="1">
      <alignment horizontal="right"/>
    </xf>
    <xf numFmtId="0" fontId="0" fillId="0" borderId="25" xfId="0" applyBorder="1"/>
    <xf numFmtId="0" fontId="108" fillId="5" borderId="0" xfId="0" applyFont="1" applyFill="1" applyBorder="1" applyAlignment="1">
      <alignment vertical="center" wrapText="1"/>
    </xf>
    <xf numFmtId="0" fontId="1" fillId="0" borderId="0" xfId="0" applyFont="1" applyFill="1" applyBorder="1" applyAlignment="1"/>
    <xf numFmtId="0" fontId="107" fillId="0" borderId="0" xfId="0" applyFont="1" applyBorder="1" applyAlignment="1">
      <alignment horizontal="right"/>
    </xf>
    <xf numFmtId="0" fontId="107" fillId="0" borderId="0" xfId="0" applyFont="1" applyBorder="1"/>
    <xf numFmtId="0" fontId="1" fillId="0" borderId="0" xfId="0" applyFont="1" applyBorder="1" applyAlignment="1"/>
    <xf numFmtId="0" fontId="0" fillId="0" borderId="19" xfId="0" applyBorder="1"/>
    <xf numFmtId="0" fontId="37" fillId="5" borderId="18" xfId="0" applyFont="1" applyFill="1" applyBorder="1" applyAlignment="1"/>
    <xf numFmtId="10" fontId="51" fillId="16" borderId="13" xfId="0" applyNumberFormat="1" applyFont="1" applyFill="1" applyBorder="1" applyAlignment="1">
      <alignment horizontal="center"/>
    </xf>
    <xf numFmtId="171" fontId="51" fillId="5" borderId="13" xfId="0" applyNumberFormat="1" applyFont="1" applyFill="1" applyBorder="1" applyAlignment="1">
      <alignment horizontal="center"/>
    </xf>
    <xf numFmtId="0" fontId="37" fillId="18" borderId="21" xfId="0" applyFont="1" applyFill="1" applyBorder="1"/>
    <xf numFmtId="0" fontId="37" fillId="18" borderId="0" xfId="0" applyFont="1" applyFill="1" applyBorder="1"/>
    <xf numFmtId="0" fontId="37" fillId="18" borderId="22" xfId="0" applyFont="1" applyFill="1" applyBorder="1"/>
    <xf numFmtId="0" fontId="37" fillId="4" borderId="1" xfId="0" applyFont="1" applyFill="1" applyBorder="1" applyAlignment="1">
      <alignment horizontal="center"/>
    </xf>
    <xf numFmtId="10" fontId="1" fillId="0" borderId="1" xfId="0" applyNumberFormat="1" applyFont="1" applyBorder="1" applyAlignment="1">
      <alignment horizontal="center"/>
    </xf>
    <xf numFmtId="9" fontId="1" fillId="0" borderId="6" xfId="0" applyNumberFormat="1" applyFont="1" applyBorder="1" applyAlignment="1">
      <alignment horizontal="center" vertical="center"/>
    </xf>
    <xf numFmtId="9" fontId="1" fillId="0" borderId="1" xfId="0" applyNumberFormat="1" applyFont="1" applyBorder="1" applyAlignment="1">
      <alignment horizontal="center" vertical="center"/>
    </xf>
    <xf numFmtId="9" fontId="1" fillId="0" borderId="1" xfId="0" applyNumberFormat="1" applyFont="1" applyBorder="1" applyAlignment="1">
      <alignment horizontal="center"/>
    </xf>
    <xf numFmtId="0" fontId="7" fillId="0" borderId="23" xfId="0" applyFont="1" applyBorder="1"/>
    <xf numFmtId="0" fontId="7" fillId="0" borderId="10" xfId="0" applyFont="1" applyBorder="1"/>
    <xf numFmtId="0" fontId="50" fillId="0" borderId="68" xfId="0" applyFont="1" applyBorder="1" applyAlignment="1"/>
    <xf numFmtId="0" fontId="50" fillId="0" borderId="68" xfId="0" applyFont="1" applyBorder="1" applyAlignment="1">
      <alignment horizontal="left"/>
    </xf>
    <xf numFmtId="0" fontId="54" fillId="0" borderId="7" xfId="2" applyFont="1" applyBorder="1" applyAlignment="1" applyProtection="1"/>
    <xf numFmtId="0" fontId="23" fillId="0" borderId="36" xfId="0" applyFont="1" applyBorder="1"/>
    <xf numFmtId="1" fontId="19" fillId="5" borderId="0" xfId="0" applyNumberFormat="1" applyFont="1" applyFill="1" applyBorder="1" applyAlignment="1">
      <alignment horizontal="center" vertical="center"/>
    </xf>
    <xf numFmtId="170" fontId="26" fillId="0" borderId="68" xfId="1" applyNumberFormat="1" applyFont="1" applyBorder="1"/>
    <xf numFmtId="170" fontId="7" fillId="0" borderId="97" xfId="1" applyNumberFormat="1" applyFont="1" applyBorder="1"/>
    <xf numFmtId="0" fontId="8" fillId="0" borderId="148" xfId="0" applyFont="1" applyBorder="1"/>
    <xf numFmtId="0" fontId="8" fillId="0" borderId="149" xfId="0" applyFont="1" applyBorder="1"/>
    <xf numFmtId="43" fontId="7" fillId="10" borderId="13" xfId="0" applyNumberFormat="1" applyFont="1" applyFill="1" applyBorder="1" applyAlignment="1"/>
    <xf numFmtId="174" fontId="46" fillId="5" borderId="24" xfId="0" applyNumberFormat="1" applyFont="1" applyFill="1" applyBorder="1" applyAlignment="1">
      <alignment horizontal="center"/>
    </xf>
    <xf numFmtId="10" fontId="19" fillId="12" borderId="1" xfId="0" applyNumberFormat="1" applyFont="1" applyFill="1" applyBorder="1" applyAlignment="1">
      <alignment horizontal="center" vertical="center"/>
    </xf>
    <xf numFmtId="166" fontId="7" fillId="0" borderId="34" xfId="0" applyNumberFormat="1" applyFont="1" applyBorder="1"/>
    <xf numFmtId="0" fontId="8" fillId="0" borderId="13" xfId="0" applyFont="1" applyBorder="1"/>
    <xf numFmtId="0" fontId="115" fillId="0" borderId="0" xfId="0" applyFont="1" applyAlignment="1"/>
    <xf numFmtId="171" fontId="23" fillId="0" borderId="0" xfId="0" applyNumberFormat="1" applyFont="1"/>
    <xf numFmtId="10" fontId="8" fillId="0" borderId="0" xfId="0" applyNumberFormat="1" applyFont="1" applyAlignment="1">
      <alignment vertical="center"/>
    </xf>
    <xf numFmtId="176" fontId="8" fillId="0" borderId="1" xfId="0" applyNumberFormat="1" applyFont="1" applyBorder="1" applyAlignment="1">
      <alignment horizontal="center"/>
    </xf>
    <xf numFmtId="10" fontId="8" fillId="0" borderId="1" xfId="0" applyNumberFormat="1" applyFont="1" applyBorder="1" applyAlignment="1">
      <alignment horizontal="center"/>
    </xf>
    <xf numFmtId="0" fontId="7" fillId="0" borderId="29" xfId="0" applyFont="1" applyBorder="1" applyAlignment="1">
      <alignment horizontal="center"/>
    </xf>
    <xf numFmtId="176" fontId="8" fillId="0" borderId="34" xfId="0" applyNumberFormat="1" applyFont="1" applyBorder="1" applyAlignment="1">
      <alignment horizontal="center"/>
    </xf>
    <xf numFmtId="10" fontId="8" fillId="0" borderId="34" xfId="0" applyNumberFormat="1" applyFont="1" applyBorder="1" applyAlignment="1">
      <alignment horizontal="center"/>
    </xf>
    <xf numFmtId="0" fontId="8" fillId="0" borderId="28" xfId="0" applyFont="1" applyBorder="1" applyAlignment="1">
      <alignment horizontal="center"/>
    </xf>
    <xf numFmtId="0" fontId="7" fillId="0" borderId="30" xfId="0" applyFont="1" applyBorder="1" applyAlignment="1">
      <alignment horizontal="center"/>
    </xf>
    <xf numFmtId="2" fontId="8" fillId="0" borderId="24" xfId="0" applyNumberFormat="1" applyFont="1" applyBorder="1" applyAlignment="1">
      <alignment horizontal="center"/>
    </xf>
    <xf numFmtId="0" fontId="8" fillId="0" borderId="31" xfId="0" applyFont="1" applyBorder="1" applyAlignment="1">
      <alignment horizontal="center"/>
    </xf>
    <xf numFmtId="2" fontId="8" fillId="0" borderId="95" xfId="0" applyNumberFormat="1" applyFont="1" applyBorder="1" applyAlignment="1">
      <alignment horizontal="center"/>
    </xf>
    <xf numFmtId="0" fontId="102" fillId="5" borderId="0" xfId="2" applyFont="1" applyFill="1" applyBorder="1" applyAlignment="1" applyProtection="1">
      <alignment horizontal="center"/>
    </xf>
    <xf numFmtId="0" fontId="8" fillId="0" borderId="10" xfId="0" applyFont="1" applyBorder="1" applyAlignment="1">
      <alignment horizontal="center"/>
    </xf>
    <xf numFmtId="10" fontId="0" fillId="0" borderId="11" xfId="0" applyNumberFormat="1" applyFill="1" applyBorder="1" applyAlignment="1">
      <alignment horizontal="center"/>
    </xf>
    <xf numFmtId="1" fontId="7" fillId="5" borderId="13" xfId="0" applyNumberFormat="1" applyFont="1" applyFill="1" applyBorder="1" applyAlignment="1">
      <alignment horizontal="center"/>
    </xf>
    <xf numFmtId="1" fontId="7" fillId="0" borderId="13" xfId="0" applyNumberFormat="1" applyFont="1" applyBorder="1" applyAlignment="1">
      <alignment horizontal="center"/>
    </xf>
    <xf numFmtId="10" fontId="7" fillId="0" borderId="13" xfId="0" applyNumberFormat="1" applyFont="1" applyBorder="1" applyAlignment="1">
      <alignment horizontal="center"/>
    </xf>
    <xf numFmtId="0" fontId="7" fillId="0" borderId="21" xfId="0" applyFont="1" applyBorder="1"/>
    <xf numFmtId="0" fontId="7" fillId="0" borderId="22" xfId="0" applyFont="1" applyBorder="1"/>
    <xf numFmtId="0" fontId="7" fillId="0" borderId="0" xfId="0" applyFont="1" applyBorder="1" applyAlignment="1"/>
    <xf numFmtId="10" fontId="7" fillId="0" borderId="0" xfId="0" applyNumberFormat="1" applyFont="1" applyBorder="1" applyAlignment="1"/>
    <xf numFmtId="167" fontId="19" fillId="12" borderId="24" xfId="1" applyNumberFormat="1" applyFont="1" applyFill="1" applyBorder="1" applyAlignment="1" applyProtection="1">
      <alignment horizontal="center" vertical="center"/>
      <protection locked="0"/>
    </xf>
    <xf numFmtId="0" fontId="115" fillId="0" borderId="13" xfId="0" applyFont="1" applyBorder="1" applyAlignment="1">
      <alignment horizontal="center"/>
    </xf>
    <xf numFmtId="10" fontId="115" fillId="0" borderId="36" xfId="0" applyNumberFormat="1" applyFont="1" applyBorder="1" applyAlignment="1">
      <alignment horizontal="center"/>
    </xf>
    <xf numFmtId="10" fontId="115" fillId="0" borderId="13" xfId="0" applyNumberFormat="1" applyFont="1" applyBorder="1" applyAlignment="1">
      <alignment horizontal="center"/>
    </xf>
    <xf numFmtId="0" fontId="8" fillId="0" borderId="0" xfId="0" applyFont="1" applyBorder="1" applyAlignment="1"/>
    <xf numFmtId="1" fontId="7" fillId="0" borderId="0" xfId="0" applyNumberFormat="1" applyFont="1" applyBorder="1" applyAlignment="1"/>
    <xf numFmtId="10" fontId="23" fillId="0" borderId="0" xfId="0" applyNumberFormat="1" applyFont="1"/>
    <xf numFmtId="1" fontId="7" fillId="0" borderId="0" xfId="0" applyNumberFormat="1" applyFont="1" applyBorder="1" applyAlignment="1">
      <alignment horizontal="center"/>
    </xf>
    <xf numFmtId="10" fontId="7" fillId="0" borderId="0" xfId="0" applyNumberFormat="1" applyFont="1" applyBorder="1" applyAlignment="1">
      <alignment horizontal="center"/>
    </xf>
    <xf numFmtId="1" fontId="7" fillId="0" borderId="0" xfId="0" applyNumberFormat="1" applyFont="1" applyBorder="1" applyAlignment="1">
      <alignment horizontal="center"/>
    </xf>
    <xf numFmtId="1" fontId="7" fillId="0" borderId="0" xfId="0" applyNumberFormat="1" applyFont="1" applyAlignment="1">
      <alignment horizontal="center"/>
    </xf>
    <xf numFmtId="0" fontId="7" fillId="0" borderId="0" xfId="0" applyFont="1" applyBorder="1" applyAlignment="1">
      <alignment horizontal="right"/>
    </xf>
    <xf numFmtId="10" fontId="8" fillId="5" borderId="0" xfId="0" applyNumberFormat="1" applyFont="1" applyFill="1"/>
    <xf numFmtId="2" fontId="7" fillId="0" borderId="13" xfId="0" applyNumberFormat="1" applyFont="1" applyBorder="1" applyAlignment="1">
      <alignment horizontal="center"/>
    </xf>
    <xf numFmtId="0" fontId="8" fillId="0" borderId="100" xfId="0" applyFont="1" applyBorder="1"/>
    <xf numFmtId="2" fontId="8" fillId="0" borderId="89" xfId="0" applyNumberFormat="1" applyFont="1" applyBorder="1" applyAlignment="1">
      <alignment horizontal="center"/>
    </xf>
    <xf numFmtId="2" fontId="8" fillId="0" borderId="90" xfId="0" applyNumberFormat="1" applyFont="1" applyBorder="1" applyAlignment="1">
      <alignment horizontal="center"/>
    </xf>
    <xf numFmtId="2" fontId="7" fillId="5" borderId="13" xfId="0" applyNumberFormat="1" applyFont="1" applyFill="1" applyBorder="1" applyAlignment="1">
      <alignment horizontal="center"/>
    </xf>
    <xf numFmtId="0" fontId="63" fillId="0" borderId="13" xfId="0" applyFont="1" applyBorder="1" applyAlignment="1">
      <alignment horizontal="center"/>
    </xf>
    <xf numFmtId="0" fontId="9" fillId="4" borderId="36" xfId="0" applyFont="1" applyFill="1" applyBorder="1"/>
    <xf numFmtId="10" fontId="19" fillId="22" borderId="9" xfId="0" applyNumberFormat="1" applyFont="1" applyFill="1" applyBorder="1" applyAlignment="1">
      <alignment vertical="center"/>
    </xf>
    <xf numFmtId="10" fontId="8" fillId="0" borderId="0" xfId="1" applyNumberFormat="1" applyFont="1" applyAlignment="1">
      <alignment vertical="center"/>
    </xf>
    <xf numFmtId="10" fontId="0" fillId="12" borderId="1" xfId="0" applyNumberFormat="1" applyFill="1" applyBorder="1" applyAlignment="1">
      <alignment horizontal="center"/>
    </xf>
    <xf numFmtId="166" fontId="8" fillId="5" borderId="37" xfId="0" applyNumberFormat="1" applyFont="1" applyFill="1" applyBorder="1" applyAlignment="1">
      <alignment horizontal="center" vertical="center"/>
    </xf>
    <xf numFmtId="1" fontId="1" fillId="0" borderId="13" xfId="0" applyNumberFormat="1" applyFont="1" applyBorder="1" applyAlignment="1">
      <alignment horizontal="center" vertical="center"/>
    </xf>
    <xf numFmtId="2" fontId="7" fillId="5" borderId="13" xfId="0" applyNumberFormat="1" applyFont="1" applyFill="1" applyBorder="1" applyAlignment="1">
      <alignment horizontal="center" vertical="center"/>
    </xf>
    <xf numFmtId="2" fontId="7" fillId="5" borderId="100" xfId="0" applyNumberFormat="1" applyFont="1" applyFill="1" applyBorder="1" applyAlignment="1">
      <alignment horizontal="center" vertical="center"/>
    </xf>
    <xf numFmtId="1" fontId="7" fillId="5" borderId="13" xfId="0" applyNumberFormat="1" applyFont="1" applyFill="1" applyBorder="1" applyAlignment="1">
      <alignment horizontal="center" vertical="center"/>
    </xf>
    <xf numFmtId="2" fontId="7" fillId="5" borderId="97" xfId="0" applyNumberFormat="1" applyFont="1" applyFill="1" applyBorder="1" applyAlignment="1">
      <alignment horizontal="center" vertical="center"/>
    </xf>
    <xf numFmtId="1" fontId="7" fillId="0" borderId="27" xfId="0" applyNumberFormat="1" applyFont="1" applyBorder="1" applyAlignment="1">
      <alignment horizontal="center"/>
    </xf>
    <xf numFmtId="0" fontId="3" fillId="0" borderId="0" xfId="2" applyAlignment="1" applyProtection="1"/>
    <xf numFmtId="0" fontId="116" fillId="0" borderId="0" xfId="2" applyFont="1" applyAlignment="1" applyProtection="1">
      <alignment horizontal="center"/>
    </xf>
    <xf numFmtId="0" fontId="0" fillId="11" borderId="150" xfId="0" applyFill="1" applyBorder="1" applyAlignment="1">
      <alignment wrapText="1"/>
    </xf>
    <xf numFmtId="0" fontId="1" fillId="0" borderId="0" xfId="0" applyFont="1" applyBorder="1" applyAlignment="1"/>
    <xf numFmtId="0" fontId="96" fillId="5" borderId="21" xfId="0" applyFont="1" applyFill="1" applyBorder="1"/>
    <xf numFmtId="0" fontId="96" fillId="5" borderId="0" xfId="0" applyFont="1" applyFill="1" applyBorder="1"/>
    <xf numFmtId="0" fontId="96" fillId="5" borderId="0" xfId="0" applyFont="1" applyFill="1" applyBorder="1" applyAlignment="1"/>
    <xf numFmtId="0" fontId="96" fillId="5" borderId="22" xfId="0" applyFont="1" applyFill="1" applyBorder="1"/>
    <xf numFmtId="0" fontId="96" fillId="5" borderId="22" xfId="0" applyFont="1" applyFill="1" applyBorder="1" applyAlignment="1">
      <alignment horizontal="left"/>
    </xf>
    <xf numFmtId="0" fontId="54" fillId="0" borderId="0" xfId="2" applyFont="1" applyBorder="1" applyAlignment="1" applyProtection="1">
      <alignment horizontal="left"/>
    </xf>
    <xf numFmtId="0" fontId="89" fillId="0" borderId="0" xfId="0" applyFont="1" applyAlignment="1">
      <alignment horizontal="left" vertical="center"/>
    </xf>
    <xf numFmtId="0" fontId="36" fillId="0" borderId="0" xfId="2" applyFont="1" applyAlignment="1" applyProtection="1">
      <alignment horizontal="left" vertical="top"/>
    </xf>
    <xf numFmtId="0" fontId="92" fillId="0" borderId="0" xfId="2" applyFont="1" applyAlignment="1" applyProtection="1">
      <alignment horizontal="center" vertical="center"/>
    </xf>
    <xf numFmtId="0" fontId="95" fillId="0" borderId="0" xfId="0" applyFont="1" applyAlignment="1">
      <alignment horizontal="left" vertical="center"/>
    </xf>
    <xf numFmtId="0" fontId="54" fillId="0" borderId="0" xfId="2" applyFont="1" applyAlignment="1" applyProtection="1">
      <alignment horizontal="left"/>
    </xf>
    <xf numFmtId="0" fontId="116" fillId="0" borderId="0" xfId="2" applyFont="1" applyAlignment="1" applyProtection="1">
      <alignment horizontal="center" vertical="center"/>
    </xf>
    <xf numFmtId="0" fontId="54" fillId="0" borderId="0" xfId="2" applyFont="1" applyAlignment="1" applyProtection="1">
      <alignment horizontal="center" vertical="center"/>
    </xf>
    <xf numFmtId="0" fontId="54" fillId="0" borderId="0" xfId="2" applyFont="1" applyAlignment="1" applyProtection="1">
      <alignment horizontal="center"/>
    </xf>
    <xf numFmtId="0" fontId="37" fillId="4" borderId="36" xfId="0" applyFont="1" applyFill="1" applyBorder="1" applyAlignment="1">
      <alignment horizontal="center"/>
    </xf>
    <xf numFmtId="0" fontId="37" fillId="4" borderId="64" xfId="0" applyFont="1" applyFill="1" applyBorder="1" applyAlignment="1">
      <alignment horizontal="center"/>
    </xf>
    <xf numFmtId="0" fontId="37" fillId="4" borderId="37" xfId="0" applyFont="1" applyFill="1" applyBorder="1" applyAlignment="1">
      <alignment horizontal="center"/>
    </xf>
    <xf numFmtId="0" fontId="54" fillId="5" borderId="21" xfId="2" applyFont="1" applyFill="1" applyBorder="1" applyAlignment="1" applyProtection="1">
      <alignment horizontal="left"/>
    </xf>
    <xf numFmtId="0" fontId="54" fillId="5" borderId="0" xfId="2" applyFont="1" applyFill="1" applyBorder="1" applyAlignment="1" applyProtection="1">
      <alignment horizontal="left"/>
    </xf>
    <xf numFmtId="0" fontId="54" fillId="5" borderId="21" xfId="2" applyFont="1" applyFill="1" applyBorder="1" applyAlignment="1" applyProtection="1">
      <alignment horizontal="left" vertical="top"/>
    </xf>
    <xf numFmtId="0" fontId="54" fillId="5" borderId="0" xfId="2" applyFont="1" applyFill="1" applyBorder="1" applyAlignment="1" applyProtection="1">
      <alignment horizontal="left" vertical="top"/>
    </xf>
    <xf numFmtId="0" fontId="54" fillId="5" borderId="22" xfId="2" applyFont="1" applyFill="1" applyBorder="1" applyAlignment="1" applyProtection="1">
      <alignment horizontal="left"/>
    </xf>
    <xf numFmtId="0" fontId="54" fillId="5" borderId="22" xfId="2" applyFont="1" applyFill="1" applyBorder="1" applyAlignment="1" applyProtection="1">
      <alignment horizontal="left" vertical="top"/>
    </xf>
    <xf numFmtId="0" fontId="1" fillId="0" borderId="36" xfId="0" applyFont="1" applyBorder="1" applyAlignment="1">
      <alignment horizontal="center"/>
    </xf>
    <xf numFmtId="0" fontId="1" fillId="0" borderId="64" xfId="0" applyFont="1" applyBorder="1" applyAlignment="1">
      <alignment horizontal="center"/>
    </xf>
    <xf numFmtId="0" fontId="1" fillId="0" borderId="37" xfId="0" applyFont="1" applyBorder="1" applyAlignment="1">
      <alignment horizontal="center"/>
    </xf>
    <xf numFmtId="0" fontId="32" fillId="4" borderId="102" xfId="0" applyFont="1" applyFill="1" applyBorder="1" applyAlignment="1">
      <alignment horizontal="center" vertical="center"/>
    </xf>
    <xf numFmtId="0" fontId="32" fillId="4" borderId="0" xfId="0" applyFont="1" applyFill="1" applyBorder="1" applyAlignment="1">
      <alignment horizontal="center" vertical="center"/>
    </xf>
    <xf numFmtId="0" fontId="117" fillId="0" borderId="0" xfId="2" applyFont="1" applyAlignment="1" applyProtection="1">
      <alignment horizontal="center" vertical="center"/>
    </xf>
    <xf numFmtId="0" fontId="59" fillId="4" borderId="51" xfId="0" applyFont="1" applyFill="1" applyBorder="1" applyAlignment="1">
      <alignment horizontal="center" vertical="center"/>
    </xf>
    <xf numFmtId="0" fontId="59" fillId="4" borderId="52" xfId="0" applyFont="1" applyFill="1" applyBorder="1" applyAlignment="1">
      <alignment horizontal="center" vertical="center"/>
    </xf>
    <xf numFmtId="0" fontId="59" fillId="4" borderId="53" xfId="0" applyFont="1" applyFill="1" applyBorder="1" applyAlignment="1">
      <alignment horizontal="center" vertical="center"/>
    </xf>
    <xf numFmtId="0" fontId="59" fillId="4" borderId="54" xfId="0" applyFont="1" applyFill="1" applyBorder="1" applyAlignment="1">
      <alignment horizontal="center" vertical="center"/>
    </xf>
    <xf numFmtId="0" fontId="4" fillId="4" borderId="55" xfId="0" applyFont="1" applyFill="1" applyBorder="1" applyAlignment="1">
      <alignment horizontal="left" vertical="center"/>
    </xf>
    <xf numFmtId="0" fontId="4" fillId="4" borderId="57" xfId="0" applyFont="1" applyFill="1" applyBorder="1" applyAlignment="1">
      <alignment horizontal="left" vertical="center"/>
    </xf>
    <xf numFmtId="0" fontId="4" fillId="4" borderId="56" xfId="0" applyFont="1" applyFill="1" applyBorder="1" applyAlignment="1">
      <alignment horizontal="right" vertical="center"/>
    </xf>
    <xf numFmtId="0" fontId="4" fillId="4" borderId="58" xfId="0" applyFont="1" applyFill="1" applyBorder="1" applyAlignment="1">
      <alignment horizontal="right" vertical="center"/>
    </xf>
    <xf numFmtId="0" fontId="59" fillId="4" borderId="47" xfId="0" applyFont="1" applyFill="1" applyBorder="1" applyAlignment="1">
      <alignment horizontal="center"/>
    </xf>
    <xf numFmtId="0" fontId="59" fillId="4" borderId="49" xfId="0" applyFont="1" applyFill="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50" fillId="0" borderId="26" xfId="0" applyFont="1" applyFill="1" applyBorder="1" applyAlignment="1">
      <alignment horizontal="left"/>
    </xf>
    <xf numFmtId="0" fontId="50" fillId="0" borderId="27" xfId="0" applyFont="1" applyFill="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146" xfId="0" applyFont="1" applyBorder="1" applyAlignment="1">
      <alignment horizontal="center"/>
    </xf>
    <xf numFmtId="0" fontId="1" fillId="0" borderId="5" xfId="0" applyFont="1" applyBorder="1" applyAlignment="1">
      <alignment horizontal="center"/>
    </xf>
    <xf numFmtId="0" fontId="1" fillId="0" borderId="75" xfId="0" applyFont="1" applyBorder="1" applyAlignment="1">
      <alignment horizontal="center"/>
    </xf>
    <xf numFmtId="0" fontId="50" fillId="0" borderId="18" xfId="0" applyFont="1" applyFill="1" applyBorder="1" applyAlignment="1">
      <alignment horizontal="left"/>
    </xf>
    <xf numFmtId="0" fontId="50" fillId="0" borderId="19" xfId="0" applyFont="1" applyFill="1" applyBorder="1" applyAlignment="1">
      <alignment horizontal="left"/>
    </xf>
    <xf numFmtId="0" fontId="54" fillId="0" borderId="74" xfId="2" applyFont="1" applyBorder="1" applyAlignment="1" applyProtection="1">
      <alignment horizontal="left"/>
    </xf>
    <xf numFmtId="0" fontId="54" fillId="0" borderId="71" xfId="2" applyFont="1" applyBorder="1" applyAlignment="1" applyProtection="1">
      <alignment horizontal="left"/>
    </xf>
    <xf numFmtId="0" fontId="54" fillId="0" borderId="69" xfId="2" applyFont="1" applyBorder="1" applyAlignment="1" applyProtection="1">
      <alignment horizontal="left"/>
    </xf>
    <xf numFmtId="0" fontId="37" fillId="4" borderId="1" xfId="0" applyFont="1" applyFill="1" applyBorder="1" applyAlignment="1">
      <alignment horizontal="center"/>
    </xf>
    <xf numFmtId="0" fontId="37" fillId="4" borderId="0" xfId="0" applyFont="1" applyFill="1" applyBorder="1" applyAlignment="1">
      <alignment horizontal="center"/>
    </xf>
    <xf numFmtId="0" fontId="37" fillId="4" borderId="0" xfId="0" applyFont="1" applyFill="1" applyAlignment="1">
      <alignment horizontal="center"/>
    </xf>
    <xf numFmtId="0" fontId="37" fillId="4" borderId="70" xfId="0" applyFont="1" applyFill="1" applyBorder="1" applyAlignment="1">
      <alignment horizontal="center"/>
    </xf>
    <xf numFmtId="0" fontId="1" fillId="12" borderId="36" xfId="0" applyFont="1" applyFill="1" applyBorder="1" applyAlignment="1">
      <alignment horizontal="center"/>
    </xf>
    <xf numFmtId="0" fontId="1" fillId="12" borderId="37" xfId="0" applyFont="1" applyFill="1" applyBorder="1" applyAlignment="1">
      <alignment horizontal="center"/>
    </xf>
    <xf numFmtId="0" fontId="93" fillId="0" borderId="0" xfId="2" applyFont="1" applyBorder="1" applyAlignment="1" applyProtection="1">
      <alignment horizontal="center" vertical="center"/>
    </xf>
    <xf numFmtId="0" fontId="37" fillId="4" borderId="5" xfId="0" applyFont="1" applyFill="1" applyBorder="1" applyAlignment="1">
      <alignment horizontal="center"/>
    </xf>
    <xf numFmtId="0" fontId="37" fillId="4" borderId="6" xfId="0" applyFont="1" applyFill="1" applyBorder="1" applyAlignment="1">
      <alignment horizontal="center"/>
    </xf>
    <xf numFmtId="0" fontId="1" fillId="0" borderId="38" xfId="0" applyFont="1" applyBorder="1" applyAlignment="1">
      <alignment horizontal="center"/>
    </xf>
    <xf numFmtId="0" fontId="1" fillId="0" borderId="3" xfId="0" applyFont="1" applyBorder="1" applyAlignment="1">
      <alignment horizontal="center"/>
    </xf>
    <xf numFmtId="0" fontId="1" fillId="0" borderId="39" xfId="0" applyFont="1" applyBorder="1" applyAlignment="1">
      <alignment horizontal="center"/>
    </xf>
    <xf numFmtId="0" fontId="0" fillId="0" borderId="78" xfId="0" applyBorder="1" applyAlignment="1">
      <alignment horizontal="center"/>
    </xf>
    <xf numFmtId="0" fontId="0" fillId="0" borderId="68" xfId="0" applyBorder="1" applyAlignment="1">
      <alignment horizontal="center"/>
    </xf>
    <xf numFmtId="0" fontId="0" fillId="0" borderId="147" xfId="0" applyBorder="1" applyAlignment="1">
      <alignment horizontal="center"/>
    </xf>
    <xf numFmtId="0" fontId="118" fillId="0" borderId="0" xfId="2" applyFont="1" applyAlignment="1" applyProtection="1">
      <alignment horizontal="center"/>
    </xf>
    <xf numFmtId="0" fontId="118" fillId="0" borderId="70" xfId="2" applyFont="1" applyBorder="1" applyAlignment="1" applyProtection="1">
      <alignment horizontal="center"/>
    </xf>
    <xf numFmtId="0" fontId="37" fillId="4" borderId="4" xfId="0" applyFont="1" applyFill="1" applyBorder="1" applyAlignment="1">
      <alignment horizontal="center"/>
    </xf>
    <xf numFmtId="0" fontId="54" fillId="0" borderId="4" xfId="2" applyFont="1" applyBorder="1" applyAlignment="1" applyProtection="1">
      <alignment horizontal="left"/>
    </xf>
    <xf numFmtId="0" fontId="54" fillId="0" borderId="5" xfId="2" applyFont="1" applyBorder="1" applyAlignment="1" applyProtection="1">
      <alignment horizontal="left"/>
    </xf>
    <xf numFmtId="0" fontId="54" fillId="0" borderId="6" xfId="2" applyFont="1" applyBorder="1" applyAlignment="1" applyProtection="1">
      <alignment horizontal="left"/>
    </xf>
    <xf numFmtId="0" fontId="50" fillId="0" borderId="5" xfId="0" applyFont="1" applyBorder="1" applyAlignment="1">
      <alignment horizontal="left"/>
    </xf>
    <xf numFmtId="0" fontId="50" fillId="0" borderId="75" xfId="0" applyFont="1" applyBorder="1" applyAlignment="1">
      <alignment horizontal="left"/>
    </xf>
    <xf numFmtId="0" fontId="1" fillId="0" borderId="146" xfId="0" applyFont="1" applyBorder="1" applyAlignment="1">
      <alignment horizontal="left"/>
    </xf>
    <xf numFmtId="0" fontId="1" fillId="0" borderId="75" xfId="0" applyFont="1" applyBorder="1" applyAlignment="1">
      <alignment horizontal="left"/>
    </xf>
    <xf numFmtId="0" fontId="1" fillId="0" borderId="74" xfId="0" applyFont="1" applyBorder="1" applyAlignment="1">
      <alignment horizontal="left"/>
    </xf>
    <xf numFmtId="0" fontId="1" fillId="0" borderId="71" xfId="0" applyFont="1" applyBorder="1" applyAlignment="1">
      <alignment horizontal="left"/>
    </xf>
    <xf numFmtId="0" fontId="1" fillId="0" borderId="69" xfId="0" applyFont="1" applyBorder="1" applyAlignment="1">
      <alignment horizontal="left"/>
    </xf>
    <xf numFmtId="49" fontId="119" fillId="0" borderId="18" xfId="2" applyNumberFormat="1" applyFont="1" applyBorder="1" applyAlignment="1" applyProtection="1">
      <alignment horizontal="center"/>
    </xf>
    <xf numFmtId="49" fontId="120" fillId="0" borderId="18" xfId="0" applyNumberFormat="1" applyFont="1" applyBorder="1" applyAlignment="1">
      <alignment horizontal="center"/>
    </xf>
    <xf numFmtId="0" fontId="1" fillId="12" borderId="64" xfId="0" applyFont="1" applyFill="1" applyBorder="1" applyAlignment="1">
      <alignment horizont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37" fillId="4" borderId="106" xfId="0" applyFont="1" applyFill="1" applyBorder="1" applyAlignment="1">
      <alignment horizontal="center"/>
    </xf>
    <xf numFmtId="0" fontId="4" fillId="4" borderId="26" xfId="0" applyFont="1" applyFill="1" applyBorder="1" applyAlignment="1">
      <alignment horizontal="center"/>
    </xf>
    <xf numFmtId="0" fontId="4" fillId="4" borderId="133" xfId="0" applyFont="1" applyFill="1" applyBorder="1" applyAlignment="1">
      <alignment horizontal="center"/>
    </xf>
    <xf numFmtId="0" fontId="37" fillId="4" borderId="104" xfId="0" applyFont="1" applyFill="1" applyBorder="1" applyAlignment="1">
      <alignment horizontal="center"/>
    </xf>
    <xf numFmtId="0" fontId="37" fillId="4" borderId="105" xfId="0" applyFont="1" applyFill="1" applyBorder="1" applyAlignment="1">
      <alignment horizontal="center"/>
    </xf>
    <xf numFmtId="0" fontId="37" fillId="4" borderId="132" xfId="0" applyFont="1" applyFill="1" applyBorder="1" applyAlignment="1">
      <alignment horizontal="center"/>
    </xf>
    <xf numFmtId="0" fontId="37" fillId="4" borderId="125" xfId="0" applyFont="1" applyFill="1" applyBorder="1" applyAlignment="1">
      <alignment horizontal="center"/>
    </xf>
    <xf numFmtId="0" fontId="37" fillId="4" borderId="115" xfId="0" applyFont="1" applyFill="1" applyBorder="1" applyAlignment="1">
      <alignment horizontal="center"/>
    </xf>
    <xf numFmtId="0" fontId="37" fillId="4" borderId="116" xfId="0" applyFont="1" applyFill="1" applyBorder="1" applyAlignment="1">
      <alignment horizontal="center"/>
    </xf>
    <xf numFmtId="0" fontId="37" fillId="4" borderId="126" xfId="0" applyFont="1" applyFill="1" applyBorder="1" applyAlignment="1">
      <alignment horizontal="center"/>
    </xf>
    <xf numFmtId="0" fontId="37" fillId="4" borderId="117" xfId="0" applyFont="1" applyFill="1" applyBorder="1" applyAlignment="1">
      <alignment horizontal="center"/>
    </xf>
    <xf numFmtId="0" fontId="1" fillId="0" borderId="109" xfId="0" applyFont="1" applyBorder="1" applyAlignment="1">
      <alignment horizontal="center" vertical="center" wrapText="1"/>
    </xf>
    <xf numFmtId="0" fontId="1" fillId="0" borderId="110" xfId="0" applyFont="1" applyBorder="1" applyAlignment="1">
      <alignment horizontal="center" vertical="center" wrapText="1"/>
    </xf>
    <xf numFmtId="0" fontId="1" fillId="0" borderId="112"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100" xfId="0" applyFont="1" applyBorder="1" applyAlignment="1">
      <alignment horizontal="center" vertical="center" wrapText="1"/>
    </xf>
    <xf numFmtId="0" fontId="1" fillId="0" borderId="114" xfId="0" applyFont="1" applyBorder="1" applyAlignment="1">
      <alignment horizontal="center" vertical="center" wrapText="1"/>
    </xf>
    <xf numFmtId="0" fontId="1" fillId="0" borderId="136" xfId="0" applyFont="1" applyBorder="1" applyAlignment="1">
      <alignment horizontal="center" vertical="center" wrapText="1"/>
    </xf>
    <xf numFmtId="0" fontId="1" fillId="0" borderId="137" xfId="0" applyFont="1" applyBorder="1" applyAlignment="1">
      <alignment horizontal="center" vertical="center" wrapText="1"/>
    </xf>
    <xf numFmtId="0" fontId="1" fillId="0" borderId="139"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129" xfId="0" applyFont="1" applyBorder="1" applyAlignment="1">
      <alignment horizontal="center" vertical="center" wrapText="1"/>
    </xf>
    <xf numFmtId="0" fontId="1" fillId="0" borderId="131" xfId="0" applyFont="1" applyBorder="1" applyAlignment="1">
      <alignment horizontal="center" vertical="center" wrapText="1"/>
    </xf>
    <xf numFmtId="0" fontId="1" fillId="0" borderId="123" xfId="0" applyFont="1" applyBorder="1" applyAlignment="1">
      <alignment horizontal="center" vertical="center" wrapText="1"/>
    </xf>
    <xf numFmtId="0" fontId="1" fillId="0" borderId="119" xfId="0" applyFont="1" applyBorder="1" applyAlignment="1">
      <alignment horizontal="center" vertical="center" wrapText="1"/>
    </xf>
    <xf numFmtId="0" fontId="1" fillId="0" borderId="120" xfId="0" applyFont="1" applyBorder="1" applyAlignment="1">
      <alignment horizontal="center" vertical="center" wrapText="1"/>
    </xf>
    <xf numFmtId="0" fontId="1" fillId="0" borderId="124" xfId="0" applyFont="1" applyBorder="1" applyAlignment="1">
      <alignment horizontal="center" vertical="center" wrapText="1"/>
    </xf>
    <xf numFmtId="0" fontId="39" fillId="4" borderId="65" xfId="0" applyFont="1" applyFill="1" applyBorder="1" applyAlignment="1">
      <alignment horizontal="center" vertical="center"/>
    </xf>
    <xf numFmtId="0" fontId="39" fillId="4" borderId="66" xfId="0" applyFont="1" applyFill="1" applyBorder="1" applyAlignment="1">
      <alignment horizontal="center" vertical="center"/>
    </xf>
    <xf numFmtId="0" fontId="39" fillId="4" borderId="67" xfId="0" applyFont="1" applyFill="1" applyBorder="1" applyAlignment="1">
      <alignment horizontal="center" vertical="center"/>
    </xf>
    <xf numFmtId="0" fontId="9" fillId="4" borderId="87" xfId="0" applyFont="1" applyFill="1" applyBorder="1" applyAlignment="1">
      <alignment horizontal="center"/>
    </xf>
    <xf numFmtId="0" fontId="9" fillId="4" borderId="62" xfId="0" applyFont="1" applyFill="1" applyBorder="1" applyAlignment="1">
      <alignment horizontal="center"/>
    </xf>
    <xf numFmtId="0" fontId="9" fillId="4" borderId="63" xfId="0" applyFont="1" applyFill="1" applyBorder="1" applyAlignment="1">
      <alignment horizontal="center"/>
    </xf>
    <xf numFmtId="0" fontId="60" fillId="0" borderId="36" xfId="0" applyFont="1" applyBorder="1" applyAlignment="1">
      <alignment horizontal="center" vertical="center" wrapText="1"/>
    </xf>
    <xf numFmtId="0" fontId="60" fillId="0" borderId="64" xfId="0" applyFont="1" applyBorder="1" applyAlignment="1">
      <alignment horizontal="center" vertical="center" wrapText="1"/>
    </xf>
    <xf numFmtId="0" fontId="60" fillId="0" borderId="37" xfId="0" applyFont="1" applyBorder="1" applyAlignment="1">
      <alignment horizontal="center" vertical="center" wrapText="1"/>
    </xf>
    <xf numFmtId="0" fontId="121" fillId="5" borderId="21" xfId="2" applyFont="1" applyFill="1" applyBorder="1" applyAlignment="1" applyProtection="1">
      <alignment horizontal="center"/>
    </xf>
    <xf numFmtId="0" fontId="121" fillId="5" borderId="0" xfId="2" applyFont="1" applyFill="1" applyBorder="1" applyAlignment="1" applyProtection="1">
      <alignment horizontal="center"/>
    </xf>
    <xf numFmtId="9" fontId="40" fillId="4" borderId="65" xfId="4" applyFont="1" applyFill="1" applyBorder="1" applyAlignment="1">
      <alignment horizontal="center" vertical="center"/>
    </xf>
    <xf numFmtId="9" fontId="40" fillId="4" borderId="66" xfId="4" applyFont="1" applyFill="1" applyBorder="1" applyAlignment="1">
      <alignment horizontal="center" vertical="center"/>
    </xf>
    <xf numFmtId="9" fontId="40" fillId="4" borderId="67" xfId="4" applyFont="1" applyFill="1" applyBorder="1" applyAlignment="1">
      <alignment horizontal="center" vertical="center"/>
    </xf>
    <xf numFmtId="0" fontId="121" fillId="0" borderId="0" xfId="2" applyFont="1" applyAlignment="1" applyProtection="1">
      <alignment horizontal="center" vertical="center"/>
    </xf>
    <xf numFmtId="0" fontId="5" fillId="4" borderId="1" xfId="2" applyFont="1" applyFill="1" applyBorder="1" applyAlignment="1" applyProtection="1">
      <alignment horizontal="center"/>
    </xf>
    <xf numFmtId="0" fontId="88" fillId="0" borderId="0" xfId="2" applyFont="1" applyAlignment="1" applyProtection="1">
      <alignment horizontal="center" vertical="center"/>
    </xf>
    <xf numFmtId="165" fontId="5" fillId="4" borderId="1" xfId="2" applyNumberFormat="1" applyFont="1" applyFill="1" applyBorder="1" applyAlignment="1" applyProtection="1">
      <alignment horizontal="center" vertical="center"/>
    </xf>
    <xf numFmtId="0" fontId="5" fillId="4" borderId="23" xfId="2" applyFont="1" applyFill="1" applyBorder="1" applyAlignment="1" applyProtection="1">
      <alignment horizontal="center"/>
    </xf>
    <xf numFmtId="0" fontId="50" fillId="0" borderId="2" xfId="0" applyFont="1" applyBorder="1" applyAlignment="1">
      <alignment horizontal="center"/>
    </xf>
    <xf numFmtId="0" fontId="50" fillId="0" borderId="3" xfId="0" applyFont="1" applyBorder="1" applyAlignment="1">
      <alignment horizontal="center"/>
    </xf>
    <xf numFmtId="0" fontId="50" fillId="0" borderId="39" xfId="0" applyFont="1" applyBorder="1" applyAlignment="1">
      <alignment horizontal="center"/>
    </xf>
    <xf numFmtId="0" fontId="50" fillId="0" borderId="4" xfId="0" applyFont="1" applyBorder="1" applyAlignment="1">
      <alignment horizontal="center"/>
    </xf>
    <xf numFmtId="0" fontId="50" fillId="0" borderId="5" xfId="0" applyFont="1" applyBorder="1" applyAlignment="1">
      <alignment horizontal="center"/>
    </xf>
    <xf numFmtId="0" fontId="50" fillId="0" borderId="75" xfId="0" applyFont="1" applyBorder="1" applyAlignment="1">
      <alignment horizontal="center"/>
    </xf>
    <xf numFmtId="0" fontId="5" fillId="4" borderId="1" xfId="2" applyFont="1" applyFill="1" applyBorder="1" applyAlignment="1" applyProtection="1">
      <alignment horizontal="center" vertical="center"/>
    </xf>
    <xf numFmtId="0" fontId="118" fillId="0" borderId="0" xfId="2" applyFont="1" applyAlignment="1" applyProtection="1">
      <alignment horizontal="center" vertical="center"/>
    </xf>
    <xf numFmtId="0" fontId="49" fillId="4" borderId="36" xfId="0" applyFont="1" applyFill="1" applyBorder="1" applyAlignment="1">
      <alignment horizontal="center"/>
    </xf>
    <xf numFmtId="0" fontId="49" fillId="4" borderId="64" xfId="0" applyFont="1" applyFill="1" applyBorder="1" applyAlignment="1">
      <alignment horizontal="center"/>
    </xf>
    <xf numFmtId="0" fontId="49" fillId="4" borderId="37" xfId="0" applyFont="1" applyFill="1" applyBorder="1" applyAlignment="1">
      <alignment horizontal="center"/>
    </xf>
    <xf numFmtId="0" fontId="50" fillId="0" borderId="0" xfId="0" applyFont="1" applyBorder="1" applyAlignment="1">
      <alignment horizontal="right"/>
    </xf>
    <xf numFmtId="0" fontId="49" fillId="4" borderId="17" xfId="0" applyFont="1" applyFill="1" applyBorder="1" applyAlignment="1">
      <alignment horizontal="center"/>
    </xf>
    <xf numFmtId="0" fontId="49" fillId="4" borderId="18" xfId="0" applyFont="1" applyFill="1" applyBorder="1" applyAlignment="1">
      <alignment horizontal="center"/>
    </xf>
    <xf numFmtId="0" fontId="37" fillId="4" borderId="1" xfId="0" applyFont="1" applyFill="1" applyBorder="1" applyAlignment="1">
      <alignment horizontal="center" vertical="center"/>
    </xf>
    <xf numFmtId="0" fontId="37" fillId="4" borderId="4" xfId="0" applyFont="1" applyFill="1" applyBorder="1" applyAlignment="1">
      <alignment horizontal="center" vertical="center"/>
    </xf>
    <xf numFmtId="0" fontId="37" fillId="4" borderId="6" xfId="0" applyFont="1" applyFill="1" applyBorder="1" applyAlignment="1">
      <alignment horizontal="center" vertical="center"/>
    </xf>
    <xf numFmtId="0" fontId="5" fillId="4" borderId="77" xfId="2" applyFont="1" applyFill="1" applyBorder="1" applyAlignment="1" applyProtection="1">
      <alignment horizontal="center"/>
    </xf>
    <xf numFmtId="0" fontId="5" fillId="4" borderId="70" xfId="2" applyFont="1" applyFill="1" applyBorder="1" applyAlignment="1" applyProtection="1">
      <alignment horizontal="center"/>
    </xf>
    <xf numFmtId="0" fontId="5" fillId="4" borderId="4" xfId="2" applyFont="1" applyFill="1" applyBorder="1" applyAlignment="1" applyProtection="1">
      <alignment horizontal="center" vertical="center"/>
    </xf>
    <xf numFmtId="0" fontId="5" fillId="4" borderId="6" xfId="2" applyFont="1" applyFill="1" applyBorder="1" applyAlignment="1" applyProtection="1">
      <alignment horizontal="center" vertical="center"/>
    </xf>
    <xf numFmtId="0" fontId="5" fillId="4" borderId="10" xfId="2" applyFont="1" applyFill="1" applyBorder="1" applyAlignment="1" applyProtection="1">
      <alignment horizontal="center"/>
    </xf>
    <xf numFmtId="0" fontId="5" fillId="4" borderId="11" xfId="2" applyFont="1" applyFill="1" applyBorder="1" applyAlignment="1" applyProtection="1">
      <alignment horizontal="center"/>
    </xf>
    <xf numFmtId="0" fontId="50" fillId="0" borderId="74" xfId="0" applyFont="1" applyBorder="1" applyAlignment="1">
      <alignment horizontal="center"/>
    </xf>
    <xf numFmtId="0" fontId="50" fillId="0" borderId="71" xfId="0" applyFont="1" applyBorder="1" applyAlignment="1">
      <alignment horizontal="center"/>
    </xf>
    <xf numFmtId="0" fontId="50" fillId="0" borderId="72" xfId="0" applyFont="1" applyBorder="1" applyAlignment="1">
      <alignment horizontal="center"/>
    </xf>
    <xf numFmtId="0" fontId="48" fillId="4" borderId="17" xfId="0" applyFont="1" applyFill="1" applyBorder="1" applyAlignment="1">
      <alignment horizontal="center"/>
    </xf>
    <xf numFmtId="0" fontId="48" fillId="4" borderId="18" xfId="0" applyFont="1" applyFill="1" applyBorder="1" applyAlignment="1">
      <alignment horizontal="center"/>
    </xf>
    <xf numFmtId="0" fontId="48" fillId="4" borderId="19" xfId="0" applyFont="1" applyFill="1" applyBorder="1" applyAlignment="1">
      <alignment horizontal="center"/>
    </xf>
    <xf numFmtId="0" fontId="38" fillId="4" borderId="17" xfId="0" applyFont="1" applyFill="1" applyBorder="1" applyAlignment="1">
      <alignment horizontal="center"/>
    </xf>
    <xf numFmtId="0" fontId="38" fillId="4" borderId="18" xfId="0" applyFont="1" applyFill="1" applyBorder="1" applyAlignment="1">
      <alignment horizontal="center"/>
    </xf>
    <xf numFmtId="0" fontId="38" fillId="4" borderId="19" xfId="0" applyFont="1" applyFill="1" applyBorder="1" applyAlignment="1">
      <alignment horizontal="center"/>
    </xf>
    <xf numFmtId="0" fontId="38" fillId="4" borderId="17" xfId="0" applyFont="1" applyFill="1" applyBorder="1" applyAlignment="1">
      <alignment horizontal="center" vertical="center"/>
    </xf>
    <xf numFmtId="0" fontId="38" fillId="4" borderId="18" xfId="0" applyFont="1" applyFill="1" applyBorder="1" applyAlignment="1">
      <alignment horizontal="center" vertical="center"/>
    </xf>
    <xf numFmtId="0" fontId="38" fillId="4" borderId="19" xfId="0" applyFont="1" applyFill="1" applyBorder="1" applyAlignment="1">
      <alignment horizontal="center" vertical="center"/>
    </xf>
    <xf numFmtId="0" fontId="87" fillId="5" borderId="0" xfId="0" applyFont="1" applyFill="1" applyBorder="1" applyAlignment="1">
      <alignment horizontal="center"/>
    </xf>
    <xf numFmtId="0" fontId="8" fillId="8" borderId="17" xfId="0" applyFont="1" applyFill="1" applyBorder="1" applyAlignment="1">
      <alignment horizontal="center" vertical="center" wrapText="1"/>
    </xf>
    <xf numFmtId="0" fontId="8" fillId="8" borderId="18" xfId="0" applyFont="1" applyFill="1" applyBorder="1" applyAlignment="1">
      <alignment horizontal="center" vertical="center"/>
    </xf>
    <xf numFmtId="0" fontId="8" fillId="8" borderId="19" xfId="0" applyFont="1" applyFill="1" applyBorder="1" applyAlignment="1">
      <alignment horizontal="center" vertical="center"/>
    </xf>
    <xf numFmtId="0" fontId="8" fillId="8" borderId="21" xfId="0" applyFont="1" applyFill="1" applyBorder="1" applyAlignment="1">
      <alignment horizontal="center" vertical="center"/>
    </xf>
    <xf numFmtId="0" fontId="8" fillId="8" borderId="0" xfId="0" applyFont="1" applyFill="1" applyBorder="1" applyAlignment="1">
      <alignment horizontal="center" vertical="center"/>
    </xf>
    <xf numFmtId="0" fontId="8" fillId="8" borderId="22" xfId="0" applyFont="1" applyFill="1" applyBorder="1" applyAlignment="1">
      <alignment horizontal="center" vertical="center"/>
    </xf>
    <xf numFmtId="0" fontId="8" fillId="8" borderId="25" xfId="0" applyFont="1" applyFill="1" applyBorder="1" applyAlignment="1">
      <alignment horizontal="center" vertical="center"/>
    </xf>
    <xf numFmtId="0" fontId="8" fillId="8" borderId="26" xfId="0" applyFont="1" applyFill="1" applyBorder="1" applyAlignment="1">
      <alignment horizontal="center" vertical="center"/>
    </xf>
    <xf numFmtId="0" fontId="8" fillId="8" borderId="27" xfId="0" applyFont="1" applyFill="1" applyBorder="1" applyAlignment="1">
      <alignment horizontal="center" vertical="center"/>
    </xf>
    <xf numFmtId="0" fontId="9" fillId="4" borderId="1" xfId="0" applyFont="1" applyFill="1" applyBorder="1" applyAlignment="1">
      <alignment horizontal="center" vertical="center"/>
    </xf>
    <xf numFmtId="0" fontId="37" fillId="4" borderId="36" xfId="0" applyFont="1" applyFill="1" applyBorder="1" applyAlignment="1">
      <alignment horizontal="left"/>
    </xf>
    <xf numFmtId="0" fontId="37" fillId="4" borderId="64" xfId="0" applyFont="1" applyFill="1" applyBorder="1" applyAlignment="1">
      <alignment horizontal="left"/>
    </xf>
    <xf numFmtId="0" fontId="37" fillId="4" borderId="79" xfId="0" applyFont="1" applyFill="1" applyBorder="1" applyAlignment="1">
      <alignment horizontal="left"/>
    </xf>
    <xf numFmtId="0" fontId="37" fillId="4" borderId="23" xfId="0" applyFont="1" applyFill="1" applyBorder="1" applyAlignment="1">
      <alignment horizontal="left"/>
    </xf>
    <xf numFmtId="0" fontId="37" fillId="4" borderId="1" xfId="0" applyFont="1" applyFill="1" applyBorder="1" applyAlignment="1">
      <alignment horizontal="left"/>
    </xf>
    <xf numFmtId="165" fontId="9" fillId="4" borderId="7" xfId="0" applyNumberFormat="1" applyFont="1" applyFill="1" applyBorder="1" applyAlignment="1">
      <alignment horizontal="center"/>
    </xf>
    <xf numFmtId="165" fontId="9" fillId="4" borderId="8" xfId="0" applyNumberFormat="1" applyFont="1" applyFill="1" applyBorder="1" applyAlignment="1">
      <alignment horizontal="center"/>
    </xf>
    <xf numFmtId="0" fontId="67" fillId="6" borderId="21" xfId="0" applyFont="1" applyFill="1" applyBorder="1" applyAlignment="1">
      <alignment horizontal="center" vertical="center" wrapText="1"/>
    </xf>
    <xf numFmtId="0" fontId="67" fillId="6" borderId="0" xfId="0" applyFont="1" applyFill="1" applyBorder="1" applyAlignment="1">
      <alignment horizontal="center" vertical="center" wrapText="1"/>
    </xf>
    <xf numFmtId="0" fontId="67" fillId="6" borderId="22" xfId="0" applyFont="1" applyFill="1" applyBorder="1" applyAlignment="1">
      <alignment horizontal="center" vertical="center" wrapText="1"/>
    </xf>
    <xf numFmtId="0" fontId="67" fillId="6" borderId="25" xfId="0" applyFont="1" applyFill="1" applyBorder="1" applyAlignment="1">
      <alignment horizontal="center" vertical="center" wrapText="1"/>
    </xf>
    <xf numFmtId="0" fontId="67" fillId="6" borderId="26" xfId="0" applyFont="1" applyFill="1" applyBorder="1" applyAlignment="1">
      <alignment horizontal="center" vertical="center" wrapText="1"/>
    </xf>
    <xf numFmtId="0" fontId="67" fillId="6" borderId="27" xfId="0" applyFont="1" applyFill="1" applyBorder="1" applyAlignment="1">
      <alignment horizontal="center" vertical="center" wrapText="1"/>
    </xf>
    <xf numFmtId="0" fontId="9" fillId="4" borderId="23" xfId="0" applyFont="1" applyFill="1" applyBorder="1" applyAlignment="1">
      <alignment horizontal="left"/>
    </xf>
    <xf numFmtId="0" fontId="9" fillId="4" borderId="1" xfId="0" applyFont="1" applyFill="1" applyBorder="1" applyAlignment="1">
      <alignment horizontal="left"/>
    </xf>
    <xf numFmtId="0" fontId="98" fillId="4" borderId="10" xfId="2" applyFont="1" applyFill="1" applyBorder="1" applyAlignment="1" applyProtection="1">
      <alignment horizontal="left"/>
    </xf>
    <xf numFmtId="0" fontId="98" fillId="4" borderId="11" xfId="2" applyFont="1" applyFill="1" applyBorder="1" applyAlignment="1" applyProtection="1">
      <alignment horizontal="left"/>
    </xf>
    <xf numFmtId="0" fontId="9" fillId="4" borderId="7" xfId="0" applyFont="1" applyFill="1" applyBorder="1" applyAlignment="1">
      <alignment horizontal="left"/>
    </xf>
    <xf numFmtId="0" fontId="9" fillId="4" borderId="8" xfId="0" applyFont="1" applyFill="1" applyBorder="1" applyAlignment="1">
      <alignment horizontal="left"/>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9" fontId="37" fillId="4" borderId="23" xfId="0" applyNumberFormat="1" applyFont="1" applyFill="1" applyBorder="1" applyAlignment="1">
      <alignment horizontal="left"/>
    </xf>
    <xf numFmtId="0" fontId="37" fillId="4" borderId="10" xfId="0" applyFont="1" applyFill="1" applyBorder="1" applyAlignment="1">
      <alignment horizontal="left"/>
    </xf>
    <xf numFmtId="0" fontId="4" fillId="4" borderId="11" xfId="0" applyFont="1" applyFill="1" applyBorder="1" applyAlignment="1">
      <alignment horizontal="left"/>
    </xf>
    <xf numFmtId="0" fontId="122" fillId="0" borderId="0" xfId="2" applyFont="1" applyAlignment="1" applyProtection="1">
      <alignment horizontal="center"/>
    </xf>
    <xf numFmtId="0" fontId="54" fillId="0" borderId="68" xfId="2" applyFont="1" applyBorder="1" applyAlignment="1" applyProtection="1">
      <alignment horizontal="left" vertical="center"/>
    </xf>
    <xf numFmtId="0" fontId="54" fillId="0" borderId="0" xfId="2" applyFont="1" applyBorder="1" applyAlignment="1" applyProtection="1">
      <alignment horizontal="left" vertical="center"/>
    </xf>
    <xf numFmtId="170" fontId="62" fillId="0" borderId="4" xfId="0" applyNumberFormat="1" applyFont="1" applyBorder="1" applyAlignment="1">
      <alignment horizontal="center"/>
    </xf>
    <xf numFmtId="170" fontId="62" fillId="0" borderId="5" xfId="0" applyNumberFormat="1" applyFont="1" applyBorder="1" applyAlignment="1">
      <alignment horizontal="center"/>
    </xf>
    <xf numFmtId="170" fontId="62" fillId="0" borderId="6" xfId="0" applyNumberFormat="1" applyFont="1" applyBorder="1" applyAlignment="1">
      <alignment horizontal="center"/>
    </xf>
    <xf numFmtId="0" fontId="40" fillId="4" borderId="65" xfId="0" applyFont="1" applyFill="1" applyBorder="1" applyAlignment="1">
      <alignment horizontal="center"/>
    </xf>
    <xf numFmtId="0" fontId="40" fillId="4" borderId="66" xfId="0" applyFont="1" applyFill="1" applyBorder="1" applyAlignment="1">
      <alignment horizontal="center"/>
    </xf>
    <xf numFmtId="0" fontId="40" fillId="4" borderId="67" xfId="0" applyFont="1" applyFill="1" applyBorder="1" applyAlignment="1">
      <alignment horizontal="center"/>
    </xf>
    <xf numFmtId="0" fontId="9" fillId="4" borderId="38" xfId="0" applyFont="1" applyFill="1" applyBorder="1" applyAlignment="1">
      <alignment horizontal="center"/>
    </xf>
    <xf numFmtId="0" fontId="9" fillId="4" borderId="3" xfId="0" applyFont="1" applyFill="1" applyBorder="1" applyAlignment="1">
      <alignment horizontal="center"/>
    </xf>
    <xf numFmtId="0" fontId="9" fillId="4" borderId="39" xfId="0" applyFont="1" applyFill="1" applyBorder="1" applyAlignment="1">
      <alignment horizontal="center"/>
    </xf>
    <xf numFmtId="0" fontId="9" fillId="4" borderId="0" xfId="0" applyFont="1" applyFill="1" applyBorder="1" applyAlignment="1">
      <alignment horizontal="center" vertical="center"/>
    </xf>
    <xf numFmtId="0" fontId="9" fillId="4" borderId="70" xfId="0" applyFont="1" applyFill="1" applyBorder="1" applyAlignment="1">
      <alignment horizontal="center" vertical="center"/>
    </xf>
    <xf numFmtId="0" fontId="63" fillId="12" borderId="1" xfId="0" applyFont="1" applyFill="1" applyBorder="1" applyAlignment="1">
      <alignment horizontal="left"/>
    </xf>
    <xf numFmtId="0" fontId="63" fillId="7" borderId="4" xfId="0" applyFont="1" applyFill="1" applyBorder="1" applyAlignment="1"/>
    <xf numFmtId="0" fontId="63" fillId="7" borderId="5" xfId="0" applyFont="1" applyFill="1" applyBorder="1" applyAlignment="1"/>
    <xf numFmtId="0" fontId="63" fillId="7" borderId="6" xfId="0" applyFont="1" applyFill="1" applyBorder="1" applyAlignment="1"/>
    <xf numFmtId="0" fontId="63" fillId="7" borderId="1" xfId="0" applyFont="1" applyFill="1" applyBorder="1" applyAlignment="1">
      <alignment horizontal="left"/>
    </xf>
    <xf numFmtId="0" fontId="63" fillId="7" borderId="4" xfId="0" applyFont="1" applyFill="1" applyBorder="1" applyAlignment="1">
      <alignment horizontal="left"/>
    </xf>
    <xf numFmtId="0" fontId="63" fillId="7" borderId="5" xfId="0" applyFont="1" applyFill="1" applyBorder="1" applyAlignment="1">
      <alignment horizontal="left"/>
    </xf>
    <xf numFmtId="0" fontId="63" fillId="7" borderId="6" xfId="0" applyFont="1" applyFill="1" applyBorder="1" applyAlignment="1">
      <alignment horizontal="left"/>
    </xf>
    <xf numFmtId="0" fontId="63" fillId="12" borderId="4" xfId="0" applyFont="1" applyFill="1" applyBorder="1" applyAlignment="1">
      <alignment horizontal="left"/>
    </xf>
    <xf numFmtId="0" fontId="63" fillId="12" borderId="5" xfId="0" applyFont="1" applyFill="1" applyBorder="1" applyAlignment="1">
      <alignment horizontal="left"/>
    </xf>
    <xf numFmtId="0" fontId="63" fillId="12" borderId="6" xfId="0" applyFont="1" applyFill="1" applyBorder="1" applyAlignment="1">
      <alignment horizontal="left"/>
    </xf>
    <xf numFmtId="0" fontId="106" fillId="4" borderId="36" xfId="0" applyFont="1" applyFill="1" applyBorder="1" applyAlignment="1">
      <alignment horizontal="center"/>
    </xf>
    <xf numFmtId="0" fontId="106" fillId="4" borderId="64" xfId="0" applyFont="1" applyFill="1" applyBorder="1" applyAlignment="1">
      <alignment horizontal="center"/>
    </xf>
    <xf numFmtId="0" fontId="106" fillId="4" borderId="37" xfId="0" applyFont="1" applyFill="1" applyBorder="1" applyAlignment="1">
      <alignment horizontal="center"/>
    </xf>
    <xf numFmtId="0" fontId="111" fillId="12" borderId="36" xfId="0" applyFont="1" applyFill="1" applyBorder="1" applyAlignment="1">
      <alignment horizontal="center" vertical="center"/>
    </xf>
    <xf numFmtId="0" fontId="111" fillId="12" borderId="64" xfId="0" applyFont="1" applyFill="1" applyBorder="1" applyAlignment="1">
      <alignment horizontal="center" vertical="center"/>
    </xf>
    <xf numFmtId="0" fontId="111" fillId="12" borderId="37" xfId="0" applyFont="1" applyFill="1" applyBorder="1" applyAlignment="1">
      <alignment horizontal="center" vertical="center"/>
    </xf>
    <xf numFmtId="0" fontId="108" fillId="4" borderId="97" xfId="0" applyFont="1" applyFill="1" applyBorder="1" applyAlignment="1">
      <alignment horizontal="center" vertical="center" wrapText="1"/>
    </xf>
    <xf numFmtId="0" fontId="108" fillId="4" borderId="20" xfId="0" applyFont="1" applyFill="1" applyBorder="1" applyAlignment="1">
      <alignment horizontal="center" vertical="center" wrapText="1"/>
    </xf>
    <xf numFmtId="0" fontId="37" fillId="4" borderId="18" xfId="0" applyFont="1" applyFill="1" applyBorder="1" applyAlignment="1">
      <alignment horizontal="center"/>
    </xf>
    <xf numFmtId="0" fontId="1" fillId="17" borderId="21" xfId="0" applyFont="1" applyFill="1" applyBorder="1" applyAlignment="1">
      <alignment horizontal="center"/>
    </xf>
    <xf numFmtId="0" fontId="1" fillId="17" borderId="0" xfId="0" applyFont="1" applyFill="1" applyBorder="1" applyAlignment="1">
      <alignment horizontal="center"/>
    </xf>
    <xf numFmtId="0" fontId="1" fillId="17" borderId="22" xfId="0" applyFont="1" applyFill="1" applyBorder="1" applyAlignment="1">
      <alignment horizontal="center"/>
    </xf>
    <xf numFmtId="0" fontId="37" fillId="18" borderId="21" xfId="0" applyFont="1" applyFill="1" applyBorder="1" applyAlignment="1">
      <alignment horizontal="center"/>
    </xf>
    <xf numFmtId="0" fontId="37" fillId="18" borderId="0" xfId="0" applyFont="1" applyFill="1" applyBorder="1" applyAlignment="1">
      <alignment horizontal="center"/>
    </xf>
    <xf numFmtId="0" fontId="37" fillId="18" borderId="22" xfId="0" applyFont="1" applyFill="1" applyBorder="1" applyAlignment="1">
      <alignment horizontal="center"/>
    </xf>
    <xf numFmtId="0" fontId="1" fillId="9" borderId="21" xfId="0" applyFont="1" applyFill="1" applyBorder="1" applyAlignment="1">
      <alignment horizontal="center"/>
    </xf>
    <xf numFmtId="0" fontId="1" fillId="9" borderId="0" xfId="0" applyFont="1" applyFill="1" applyBorder="1" applyAlignment="1">
      <alignment horizontal="center"/>
    </xf>
    <xf numFmtId="0" fontId="1" fillId="9" borderId="22" xfId="0" applyFont="1" applyFill="1" applyBorder="1" applyAlignment="1">
      <alignment horizontal="center"/>
    </xf>
    <xf numFmtId="0" fontId="1" fillId="16" borderId="21" xfId="0" applyFont="1" applyFill="1" applyBorder="1" applyAlignment="1">
      <alignment horizontal="center"/>
    </xf>
    <xf numFmtId="0" fontId="1" fillId="16" borderId="0" xfId="0" applyFont="1" applyFill="1" applyBorder="1" applyAlignment="1">
      <alignment horizontal="center"/>
    </xf>
    <xf numFmtId="0" fontId="1" fillId="16" borderId="22" xfId="0" applyFont="1" applyFill="1" applyBorder="1" applyAlignment="1">
      <alignment horizontal="center"/>
    </xf>
    <xf numFmtId="0" fontId="37" fillId="18" borderId="21" xfId="0" quotePrefix="1" applyFont="1" applyFill="1" applyBorder="1" applyAlignment="1">
      <alignment horizontal="center"/>
    </xf>
    <xf numFmtId="0" fontId="37" fillId="18" borderId="0" xfId="0" quotePrefix="1" applyFont="1" applyFill="1" applyBorder="1" applyAlignment="1">
      <alignment horizontal="center"/>
    </xf>
    <xf numFmtId="0" fontId="37" fillId="18" borderId="22" xfId="0" quotePrefix="1" applyFont="1" applyFill="1" applyBorder="1" applyAlignment="1">
      <alignment horizontal="center"/>
    </xf>
    <xf numFmtId="0" fontId="1" fillId="9" borderId="21" xfId="0" quotePrefix="1" applyFont="1" applyFill="1" applyBorder="1" applyAlignment="1">
      <alignment horizontal="center"/>
    </xf>
    <xf numFmtId="0" fontId="4" fillId="18" borderId="25" xfId="0" applyFont="1" applyFill="1" applyBorder="1" applyAlignment="1">
      <alignment horizontal="center"/>
    </xf>
    <xf numFmtId="0" fontId="4" fillId="18" borderId="26" xfId="0" applyFont="1" applyFill="1" applyBorder="1" applyAlignment="1">
      <alignment horizontal="center"/>
    </xf>
    <xf numFmtId="0" fontId="4" fillId="18" borderId="27" xfId="0" applyFont="1" applyFill="1" applyBorder="1" applyAlignment="1">
      <alignment horizontal="center"/>
    </xf>
    <xf numFmtId="0" fontId="0" fillId="9" borderId="25" xfId="0" applyFill="1" applyBorder="1" applyAlignment="1">
      <alignment horizontal="center"/>
    </xf>
    <xf numFmtId="0" fontId="0" fillId="9" borderId="26" xfId="0" applyFill="1" applyBorder="1" applyAlignment="1">
      <alignment horizontal="center"/>
    </xf>
    <xf numFmtId="0" fontId="0" fillId="9" borderId="27" xfId="0" applyFill="1" applyBorder="1" applyAlignment="1">
      <alignment horizontal="center"/>
    </xf>
    <xf numFmtId="0" fontId="107" fillId="0" borderId="18" xfId="0" applyFont="1" applyBorder="1" applyAlignment="1">
      <alignment horizontal="right"/>
    </xf>
    <xf numFmtId="0" fontId="1" fillId="0" borderId="0" xfId="0" applyFont="1" applyBorder="1" applyAlignment="1">
      <alignment horizontal="left"/>
    </xf>
    <xf numFmtId="0" fontId="1" fillId="9" borderId="0" xfId="0" quotePrefix="1" applyFont="1" applyFill="1" applyBorder="1" applyAlignment="1">
      <alignment horizontal="center"/>
    </xf>
    <xf numFmtId="0" fontId="1" fillId="9" borderId="22" xfId="0" quotePrefix="1" applyFont="1" applyFill="1" applyBorder="1" applyAlignment="1">
      <alignment horizontal="center"/>
    </xf>
    <xf numFmtId="0" fontId="1" fillId="16" borderId="21" xfId="0" quotePrefix="1" applyFont="1" applyFill="1" applyBorder="1" applyAlignment="1">
      <alignment horizontal="center"/>
    </xf>
    <xf numFmtId="0" fontId="1" fillId="16" borderId="0" xfId="0" quotePrefix="1" applyFont="1" applyFill="1" applyBorder="1" applyAlignment="1">
      <alignment horizontal="center"/>
    </xf>
    <xf numFmtId="0" fontId="1" fillId="16" borderId="22" xfId="0" quotePrefix="1" applyFont="1" applyFill="1" applyBorder="1" applyAlignment="1">
      <alignment horizontal="center"/>
    </xf>
    <xf numFmtId="0" fontId="1" fillId="17" borderId="21" xfId="0" quotePrefix="1" applyFont="1" applyFill="1" applyBorder="1" applyAlignment="1">
      <alignment horizontal="center"/>
    </xf>
    <xf numFmtId="0" fontId="1" fillId="17" borderId="0" xfId="0" quotePrefix="1" applyFont="1" applyFill="1" applyBorder="1" applyAlignment="1">
      <alignment horizontal="center"/>
    </xf>
    <xf numFmtId="0" fontId="1" fillId="17" borderId="22" xfId="0" quotePrefix="1" applyFont="1" applyFill="1" applyBorder="1" applyAlignment="1">
      <alignment horizontal="center"/>
    </xf>
    <xf numFmtId="0" fontId="1" fillId="16" borderId="25" xfId="0" applyFont="1" applyFill="1" applyBorder="1" applyAlignment="1">
      <alignment horizontal="center"/>
    </xf>
    <xf numFmtId="0" fontId="1" fillId="16" borderId="26" xfId="0" applyFont="1" applyFill="1" applyBorder="1" applyAlignment="1">
      <alignment horizontal="center"/>
    </xf>
    <xf numFmtId="0" fontId="1" fillId="16" borderId="27" xfId="0" applyFont="1" applyFill="1" applyBorder="1" applyAlignment="1">
      <alignment horizontal="center"/>
    </xf>
    <xf numFmtId="0" fontId="1" fillId="17" borderId="25" xfId="0" applyFont="1" applyFill="1" applyBorder="1" applyAlignment="1">
      <alignment horizontal="center"/>
    </xf>
    <xf numFmtId="0" fontId="1" fillId="17" borderId="26" xfId="0" applyFont="1" applyFill="1" applyBorder="1" applyAlignment="1">
      <alignment horizontal="center"/>
    </xf>
    <xf numFmtId="0" fontId="1" fillId="17" borderId="27" xfId="0" applyFont="1" applyFill="1" applyBorder="1" applyAlignment="1">
      <alignment horizontal="center"/>
    </xf>
    <xf numFmtId="0" fontId="110" fillId="18" borderId="21" xfId="0" applyFont="1" applyFill="1" applyBorder="1" applyAlignment="1">
      <alignment horizontal="center" vertical="center"/>
    </xf>
    <xf numFmtId="0" fontId="110" fillId="18" borderId="0" xfId="0" applyFont="1" applyFill="1" applyBorder="1" applyAlignment="1">
      <alignment horizontal="center" vertical="center"/>
    </xf>
    <xf numFmtId="0" fontId="110" fillId="18" borderId="22" xfId="0" applyFont="1" applyFill="1" applyBorder="1" applyAlignment="1">
      <alignment horizontal="center" vertical="center"/>
    </xf>
    <xf numFmtId="0" fontId="107" fillId="9" borderId="21" xfId="0" applyFont="1" applyFill="1" applyBorder="1" applyAlignment="1">
      <alignment horizontal="center" vertical="center"/>
    </xf>
    <xf numFmtId="0" fontId="107" fillId="9" borderId="0" xfId="0" applyFont="1" applyFill="1" applyBorder="1" applyAlignment="1">
      <alignment horizontal="center" vertical="center"/>
    </xf>
    <xf numFmtId="0" fontId="107" fillId="9" borderId="22" xfId="0" applyFont="1" applyFill="1" applyBorder="1" applyAlignment="1">
      <alignment horizontal="center" vertical="center"/>
    </xf>
    <xf numFmtId="0" fontId="112" fillId="4" borderId="36" xfId="0" applyFont="1" applyFill="1" applyBorder="1" applyAlignment="1">
      <alignment horizontal="center"/>
    </xf>
    <xf numFmtId="0" fontId="112" fillId="4" borderId="64" xfId="0" applyFont="1" applyFill="1" applyBorder="1" applyAlignment="1">
      <alignment horizontal="center"/>
    </xf>
    <xf numFmtId="0" fontId="112" fillId="4" borderId="37" xfId="0" applyFont="1" applyFill="1" applyBorder="1" applyAlignment="1">
      <alignment horizontal="center"/>
    </xf>
    <xf numFmtId="0" fontId="107" fillId="0" borderId="0" xfId="0" applyFont="1" applyBorder="1" applyAlignment="1">
      <alignment horizontal="right"/>
    </xf>
    <xf numFmtId="0" fontId="107" fillId="16" borderId="17" xfId="0" applyFont="1" applyFill="1" applyBorder="1" applyAlignment="1">
      <alignment horizontal="center" vertical="center"/>
    </xf>
    <xf numFmtId="0" fontId="107" fillId="16" borderId="18" xfId="0" applyFont="1" applyFill="1" applyBorder="1" applyAlignment="1">
      <alignment horizontal="center" vertical="center"/>
    </xf>
    <xf numFmtId="0" fontId="107" fillId="16" borderId="19" xfId="0" applyFont="1" applyFill="1" applyBorder="1" applyAlignment="1">
      <alignment horizontal="center" vertical="center"/>
    </xf>
    <xf numFmtId="0" fontId="107" fillId="16" borderId="21" xfId="0" applyFont="1" applyFill="1" applyBorder="1" applyAlignment="1">
      <alignment horizontal="center" vertical="center"/>
    </xf>
    <xf numFmtId="0" fontId="107" fillId="16" borderId="0" xfId="0" applyFont="1" applyFill="1" applyBorder="1" applyAlignment="1">
      <alignment horizontal="center" vertical="center"/>
    </xf>
    <xf numFmtId="0" fontId="107" fillId="16" borderId="22" xfId="0" applyFont="1" applyFill="1" applyBorder="1" applyAlignment="1">
      <alignment horizontal="center" vertical="center"/>
    </xf>
    <xf numFmtId="0" fontId="107" fillId="17" borderId="17" xfId="0" applyFont="1" applyFill="1" applyBorder="1" applyAlignment="1">
      <alignment horizontal="center" vertical="center"/>
    </xf>
    <xf numFmtId="0" fontId="107" fillId="17" borderId="18" xfId="0" applyFont="1" applyFill="1" applyBorder="1" applyAlignment="1">
      <alignment horizontal="center" vertical="center"/>
    </xf>
    <xf numFmtId="0" fontId="107" fillId="17" borderId="19" xfId="0" applyFont="1" applyFill="1" applyBorder="1" applyAlignment="1">
      <alignment horizontal="center" vertical="center"/>
    </xf>
    <xf numFmtId="0" fontId="107" fillId="17" borderId="21" xfId="0" applyFont="1" applyFill="1" applyBorder="1" applyAlignment="1">
      <alignment horizontal="center" vertical="center"/>
    </xf>
    <xf numFmtId="0" fontId="107" fillId="17" borderId="0" xfId="0" applyFont="1" applyFill="1" applyBorder="1" applyAlignment="1">
      <alignment horizontal="center" vertical="center"/>
    </xf>
    <xf numFmtId="0" fontId="107" fillId="17" borderId="22" xfId="0" applyFont="1" applyFill="1" applyBorder="1" applyAlignment="1">
      <alignment horizontal="center" vertical="center"/>
    </xf>
    <xf numFmtId="0" fontId="0" fillId="0" borderId="0" xfId="0" applyBorder="1" applyAlignment="1">
      <alignment horizontal="center"/>
    </xf>
    <xf numFmtId="0" fontId="75" fillId="12" borderId="36" xfId="0" applyFont="1" applyFill="1" applyBorder="1" applyAlignment="1">
      <alignment horizontal="center" vertical="center"/>
    </xf>
    <xf numFmtId="0" fontId="75" fillId="12" borderId="64" xfId="0" applyFont="1" applyFill="1" applyBorder="1" applyAlignment="1">
      <alignment horizontal="center" vertical="center"/>
    </xf>
    <xf numFmtId="0" fontId="75" fillId="12" borderId="37" xfId="0" applyFont="1" applyFill="1" applyBorder="1" applyAlignment="1">
      <alignment horizontal="center" vertical="center"/>
    </xf>
    <xf numFmtId="0" fontId="1" fillId="0" borderId="21" xfId="0" applyFont="1" applyBorder="1" applyAlignment="1"/>
    <xf numFmtId="0" fontId="1" fillId="0" borderId="0" xfId="0" applyFont="1" applyBorder="1" applyAlignment="1"/>
    <xf numFmtId="0" fontId="1" fillId="0" borderId="22" xfId="0" applyFont="1" applyBorder="1" applyAlignment="1"/>
    <xf numFmtId="0" fontId="1" fillId="0" borderId="25" xfId="0" applyFont="1" applyBorder="1" applyAlignment="1"/>
    <xf numFmtId="0" fontId="1" fillId="0" borderId="26" xfId="0" applyFont="1" applyBorder="1" applyAlignment="1"/>
    <xf numFmtId="0" fontId="1" fillId="0" borderId="27" xfId="0" applyFont="1" applyBorder="1" applyAlignment="1"/>
    <xf numFmtId="0" fontId="0" fillId="18" borderId="25" xfId="0" applyFill="1" applyBorder="1" applyAlignment="1">
      <alignment horizontal="center"/>
    </xf>
    <xf numFmtId="0" fontId="0" fillId="18" borderId="26" xfId="0" applyFill="1" applyBorder="1" applyAlignment="1">
      <alignment horizontal="center"/>
    </xf>
    <xf numFmtId="0" fontId="0" fillId="18" borderId="27" xfId="0" applyFill="1" applyBorder="1" applyAlignment="1">
      <alignment horizontal="center"/>
    </xf>
    <xf numFmtId="0" fontId="108" fillId="4" borderId="21" xfId="0" applyFont="1" applyFill="1" applyBorder="1" applyAlignment="1">
      <alignment horizontal="center" vertical="center" wrapText="1"/>
    </xf>
    <xf numFmtId="0" fontId="108" fillId="4" borderId="0" xfId="0" applyFont="1" applyFill="1" applyBorder="1" applyAlignment="1">
      <alignment horizontal="center" vertical="center" wrapText="1"/>
    </xf>
    <xf numFmtId="0" fontId="1" fillId="0" borderId="17" xfId="0" applyFont="1" applyBorder="1" applyAlignment="1">
      <alignment horizontal="right"/>
    </xf>
    <xf numFmtId="0" fontId="1" fillId="0" borderId="18" xfId="0" applyFont="1" applyBorder="1" applyAlignment="1">
      <alignment horizontal="right"/>
    </xf>
    <xf numFmtId="0" fontId="1" fillId="0" borderId="19" xfId="0" applyFont="1" applyBorder="1" applyAlignment="1">
      <alignment horizontal="right"/>
    </xf>
    <xf numFmtId="0" fontId="6" fillId="12" borderId="64" xfId="0" applyFont="1" applyFill="1" applyBorder="1" applyAlignment="1">
      <alignment horizontal="center"/>
    </xf>
    <xf numFmtId="0" fontId="6" fillId="12" borderId="37" xfId="0" applyFont="1" applyFill="1" applyBorder="1" applyAlignment="1">
      <alignment horizontal="center"/>
    </xf>
    <xf numFmtId="0" fontId="114" fillId="12" borderId="26" xfId="0" applyFont="1" applyFill="1" applyBorder="1" applyAlignment="1">
      <alignment horizontal="center"/>
    </xf>
    <xf numFmtId="0" fontId="114" fillId="12" borderId="27" xfId="0" applyFont="1" applyFill="1" applyBorder="1" applyAlignment="1">
      <alignment horizontal="center"/>
    </xf>
    <xf numFmtId="0" fontId="103" fillId="12" borderId="25" xfId="0" applyFont="1" applyFill="1" applyBorder="1" applyAlignment="1">
      <alignment horizontal="center"/>
    </xf>
    <xf numFmtId="0" fontId="103" fillId="12" borderId="27" xfId="0" applyFont="1" applyFill="1" applyBorder="1" applyAlignment="1">
      <alignment horizontal="center"/>
    </xf>
    <xf numFmtId="0" fontId="86" fillId="12" borderId="36" xfId="0" applyFont="1" applyFill="1" applyBorder="1" applyAlignment="1">
      <alignment horizontal="center"/>
    </xf>
    <xf numFmtId="0" fontId="86" fillId="12" borderId="64" xfId="0" applyFont="1" applyFill="1" applyBorder="1" applyAlignment="1">
      <alignment horizontal="center"/>
    </xf>
    <xf numFmtId="0" fontId="86" fillId="12" borderId="37" xfId="0" applyFont="1" applyFill="1" applyBorder="1" applyAlignment="1">
      <alignment horizontal="center"/>
    </xf>
    <xf numFmtId="10" fontId="51" fillId="9" borderId="21" xfId="0" applyNumberFormat="1" applyFont="1" applyFill="1" applyBorder="1" applyAlignment="1">
      <alignment horizontal="center"/>
    </xf>
    <xf numFmtId="10" fontId="51" fillId="9" borderId="0" xfId="0" applyNumberFormat="1" applyFont="1" applyFill="1" applyBorder="1" applyAlignment="1">
      <alignment horizontal="center"/>
    </xf>
    <xf numFmtId="10" fontId="51" fillId="9" borderId="22" xfId="0" applyNumberFormat="1" applyFont="1" applyFill="1" applyBorder="1" applyAlignment="1">
      <alignment horizontal="center"/>
    </xf>
    <xf numFmtId="9" fontId="37" fillId="4" borderId="36" xfId="0" applyNumberFormat="1" applyFont="1" applyFill="1" applyBorder="1" applyAlignment="1">
      <alignment horizontal="center"/>
    </xf>
    <xf numFmtId="9" fontId="37" fillId="4" borderId="64" xfId="0" applyNumberFormat="1" applyFont="1" applyFill="1" applyBorder="1" applyAlignment="1">
      <alignment horizontal="center"/>
    </xf>
    <xf numFmtId="9" fontId="37" fillId="4" borderId="37" xfId="0" applyNumberFormat="1" applyFont="1" applyFill="1" applyBorder="1" applyAlignment="1">
      <alignment horizontal="center"/>
    </xf>
    <xf numFmtId="9" fontId="50" fillId="0" borderId="64" xfId="0" applyNumberFormat="1" applyFont="1" applyBorder="1" applyAlignment="1">
      <alignment horizontal="center"/>
    </xf>
    <xf numFmtId="10" fontId="51" fillId="18" borderId="21" xfId="0" applyNumberFormat="1" applyFont="1" applyFill="1" applyBorder="1" applyAlignment="1">
      <alignment horizontal="center"/>
    </xf>
    <xf numFmtId="10" fontId="51" fillId="18" borderId="0" xfId="0" applyNumberFormat="1" applyFont="1" applyFill="1" applyBorder="1" applyAlignment="1">
      <alignment horizontal="center"/>
    </xf>
    <xf numFmtId="10" fontId="51" fillId="18" borderId="22" xfId="0" applyNumberFormat="1" applyFont="1" applyFill="1" applyBorder="1" applyAlignment="1">
      <alignment horizontal="center"/>
    </xf>
    <xf numFmtId="10" fontId="51" fillId="16" borderId="21" xfId="0" applyNumberFormat="1" applyFont="1" applyFill="1" applyBorder="1" applyAlignment="1">
      <alignment horizontal="center"/>
    </xf>
    <xf numFmtId="10" fontId="51" fillId="16" borderId="0" xfId="0" applyNumberFormat="1" applyFont="1" applyFill="1" applyBorder="1" applyAlignment="1">
      <alignment horizontal="center"/>
    </xf>
    <xf numFmtId="10" fontId="51" fillId="16" borderId="22" xfId="0" applyNumberFormat="1" applyFont="1" applyFill="1" applyBorder="1" applyAlignment="1">
      <alignment horizontal="center"/>
    </xf>
    <xf numFmtId="10" fontId="37" fillId="4" borderId="17" xfId="0" applyNumberFormat="1" applyFont="1" applyFill="1" applyBorder="1" applyAlignment="1">
      <alignment horizontal="center"/>
    </xf>
    <xf numFmtId="10" fontId="37" fillId="4" borderId="18" xfId="0" applyNumberFormat="1" applyFont="1" applyFill="1" applyBorder="1" applyAlignment="1">
      <alignment horizontal="center"/>
    </xf>
    <xf numFmtId="10" fontId="37" fillId="4" borderId="19" xfId="0" applyNumberFormat="1" applyFont="1" applyFill="1" applyBorder="1" applyAlignment="1">
      <alignment horizontal="center"/>
    </xf>
    <xf numFmtId="0" fontId="37" fillId="4" borderId="21" xfId="0" applyFont="1" applyFill="1" applyBorder="1" applyAlignment="1">
      <alignment horizontal="center"/>
    </xf>
    <xf numFmtId="10" fontId="53" fillId="5" borderId="0" xfId="0" applyNumberFormat="1" applyFont="1" applyFill="1" applyBorder="1" applyAlignment="1">
      <alignment horizontal="right"/>
    </xf>
    <xf numFmtId="0" fontId="113" fillId="4" borderId="36" xfId="0" applyFont="1" applyFill="1" applyBorder="1" applyAlignment="1">
      <alignment horizontal="center"/>
    </xf>
    <xf numFmtId="0" fontId="113" fillId="4" borderId="64" xfId="0" applyFont="1" applyFill="1" applyBorder="1" applyAlignment="1">
      <alignment horizontal="center"/>
    </xf>
    <xf numFmtId="0" fontId="113" fillId="4" borderId="37" xfId="0" applyFont="1" applyFill="1" applyBorder="1" applyAlignment="1">
      <alignment horizontal="center"/>
    </xf>
    <xf numFmtId="10" fontId="51" fillId="17" borderId="21" xfId="0" applyNumberFormat="1" applyFont="1" applyFill="1" applyBorder="1" applyAlignment="1">
      <alignment horizontal="center"/>
    </xf>
    <xf numFmtId="10" fontId="51" fillId="17" borderId="0" xfId="0" applyNumberFormat="1" applyFont="1" applyFill="1" applyBorder="1" applyAlignment="1">
      <alignment horizontal="center"/>
    </xf>
    <xf numFmtId="10" fontId="51" fillId="17" borderId="22" xfId="0" applyNumberFormat="1" applyFont="1" applyFill="1" applyBorder="1" applyAlignment="1">
      <alignment horizontal="center"/>
    </xf>
    <xf numFmtId="0" fontId="38" fillId="4" borderId="47" xfId="0" applyFont="1" applyFill="1" applyBorder="1" applyAlignment="1">
      <alignment horizontal="center"/>
    </xf>
    <xf numFmtId="0" fontId="38" fillId="4" borderId="48" xfId="0" applyFont="1" applyFill="1" applyBorder="1" applyAlignment="1">
      <alignment horizontal="center"/>
    </xf>
    <xf numFmtId="0" fontId="38" fillId="4" borderId="49" xfId="0" applyFont="1" applyFill="1" applyBorder="1" applyAlignment="1">
      <alignment horizontal="center"/>
    </xf>
    <xf numFmtId="0" fontId="38" fillId="4" borderId="65" xfId="0" applyFont="1" applyFill="1" applyBorder="1" applyAlignment="1">
      <alignment horizontal="center"/>
    </xf>
    <xf numFmtId="0" fontId="38" fillId="4" borderId="66" xfId="0" applyFont="1" applyFill="1" applyBorder="1" applyAlignment="1">
      <alignment horizontal="center"/>
    </xf>
    <xf numFmtId="0" fontId="38" fillId="4" borderId="67" xfId="0" applyFont="1" applyFill="1" applyBorder="1" applyAlignment="1">
      <alignment horizontal="center"/>
    </xf>
    <xf numFmtId="10" fontId="49" fillId="4" borderId="17" xfId="0" applyNumberFormat="1" applyFont="1" applyFill="1" applyBorder="1" applyAlignment="1">
      <alignment horizontal="center" vertical="center"/>
    </xf>
    <xf numFmtId="10" fontId="49" fillId="4" borderId="18" xfId="0" applyNumberFormat="1" applyFont="1" applyFill="1" applyBorder="1" applyAlignment="1">
      <alignment horizontal="center" vertical="center"/>
    </xf>
    <xf numFmtId="10" fontId="49" fillId="4" borderId="19" xfId="0" applyNumberFormat="1" applyFont="1" applyFill="1" applyBorder="1" applyAlignment="1">
      <alignment horizontal="center" vertical="center"/>
    </xf>
    <xf numFmtId="0" fontId="50" fillId="0" borderId="18" xfId="0" applyFont="1" applyBorder="1" applyAlignment="1">
      <alignment horizontal="right"/>
    </xf>
    <xf numFmtId="0" fontId="37" fillId="15" borderId="1" xfId="0" applyFont="1" applyFill="1" applyBorder="1" applyAlignment="1">
      <alignment horizontal="center"/>
    </xf>
    <xf numFmtId="0" fontId="37" fillId="4" borderId="17" xfId="0" applyFont="1" applyFill="1" applyBorder="1" applyAlignment="1">
      <alignment horizontal="center"/>
    </xf>
    <xf numFmtId="0" fontId="37" fillId="4" borderId="19" xfId="0" applyFont="1" applyFill="1" applyBorder="1" applyAlignment="1">
      <alignment horizontal="center"/>
    </xf>
    <xf numFmtId="0" fontId="1" fillId="0" borderId="0" xfId="0" applyFont="1" applyBorder="1" applyAlignment="1">
      <alignment horizontal="right"/>
    </xf>
    <xf numFmtId="0" fontId="1" fillId="0" borderId="22" xfId="0" applyFont="1" applyBorder="1" applyAlignment="1">
      <alignment horizontal="right"/>
    </xf>
    <xf numFmtId="0" fontId="109" fillId="12" borderId="36" xfId="0" applyFont="1" applyFill="1" applyBorder="1" applyAlignment="1">
      <alignment horizontal="center"/>
    </xf>
    <xf numFmtId="0" fontId="109" fillId="12" borderId="64" xfId="0" applyFont="1" applyFill="1" applyBorder="1" applyAlignment="1">
      <alignment horizontal="center"/>
    </xf>
    <xf numFmtId="0" fontId="109" fillId="12" borderId="37" xfId="0" applyFont="1" applyFill="1" applyBorder="1" applyAlignment="1">
      <alignment horizontal="center"/>
    </xf>
    <xf numFmtId="0" fontId="108" fillId="4" borderId="17" xfId="0" applyFont="1" applyFill="1" applyBorder="1" applyAlignment="1">
      <alignment horizontal="center" vertical="center"/>
    </xf>
    <xf numFmtId="0" fontId="108" fillId="4" borderId="19" xfId="0" applyFont="1" applyFill="1" applyBorder="1" applyAlignment="1">
      <alignment horizontal="center" vertical="center"/>
    </xf>
    <xf numFmtId="0" fontId="108" fillId="4" borderId="21" xfId="0" applyFont="1" applyFill="1" applyBorder="1" applyAlignment="1">
      <alignment horizontal="center" vertical="center"/>
    </xf>
    <xf numFmtId="0" fontId="108" fillId="4" borderId="22" xfId="0" applyFont="1" applyFill="1" applyBorder="1" applyAlignment="1">
      <alignment horizontal="center" vertical="center"/>
    </xf>
    <xf numFmtId="0" fontId="108" fillId="4" borderId="25" xfId="0" applyFont="1" applyFill="1" applyBorder="1" applyAlignment="1">
      <alignment horizontal="center" vertical="center"/>
    </xf>
    <xf numFmtId="0" fontId="108" fillId="4" borderId="27" xfId="0" applyFont="1" applyFill="1" applyBorder="1" applyAlignment="1">
      <alignment horizontal="center" vertical="center"/>
    </xf>
    <xf numFmtId="0" fontId="1" fillId="0" borderId="17" xfId="0" applyFont="1" applyBorder="1" applyAlignment="1">
      <alignment horizontal="left"/>
    </xf>
    <xf numFmtId="0" fontId="1" fillId="0" borderId="19"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5" xfId="0" applyFont="1" applyFill="1" applyBorder="1" applyAlignment="1">
      <alignment horizontal="left"/>
    </xf>
    <xf numFmtId="0" fontId="1" fillId="0" borderId="27" xfId="0" applyFont="1" applyFill="1" applyBorder="1" applyAlignment="1">
      <alignment horizontal="left"/>
    </xf>
    <xf numFmtId="0" fontId="54" fillId="0" borderId="77" xfId="2" applyFont="1" applyBorder="1" applyAlignment="1" applyProtection="1">
      <alignment horizontal="center"/>
    </xf>
    <xf numFmtId="0" fontId="54" fillId="0" borderId="0" xfId="2" applyFont="1" applyBorder="1" applyAlignment="1" applyProtection="1">
      <alignment horizontal="center"/>
    </xf>
    <xf numFmtId="0" fontId="69" fillId="19" borderId="18" xfId="0" applyFont="1" applyFill="1" applyBorder="1" applyAlignment="1">
      <alignment horizontal="center" vertical="center"/>
    </xf>
    <xf numFmtId="0" fontId="69" fillId="19" borderId="19" xfId="0" applyFont="1" applyFill="1" applyBorder="1" applyAlignment="1">
      <alignment horizontal="center" vertical="center"/>
    </xf>
    <xf numFmtId="0" fontId="69" fillId="19" borderId="26" xfId="0" applyFont="1" applyFill="1" applyBorder="1" applyAlignment="1">
      <alignment horizontal="center" vertical="center"/>
    </xf>
    <xf numFmtId="0" fontId="69" fillId="19" borderId="27" xfId="0" applyFont="1" applyFill="1" applyBorder="1" applyAlignment="1">
      <alignment horizontal="center" vertical="center"/>
    </xf>
    <xf numFmtId="0" fontId="69" fillId="20" borderId="17" xfId="0" applyFont="1" applyFill="1" applyBorder="1" applyAlignment="1">
      <alignment horizontal="center" vertical="center"/>
    </xf>
    <xf numFmtId="0" fontId="69" fillId="20" borderId="19" xfId="0" applyFont="1" applyFill="1" applyBorder="1" applyAlignment="1">
      <alignment horizontal="center" vertical="center"/>
    </xf>
    <xf numFmtId="0" fontId="69" fillId="20" borderId="25" xfId="0" applyFont="1" applyFill="1" applyBorder="1" applyAlignment="1">
      <alignment horizontal="center" vertical="center"/>
    </xf>
    <xf numFmtId="0" fontId="69" fillId="20" borderId="27" xfId="0" applyFont="1" applyFill="1" applyBorder="1" applyAlignment="1">
      <alignment horizontal="center" vertical="center"/>
    </xf>
    <xf numFmtId="0" fontId="74" fillId="0" borderId="21" xfId="0" applyFont="1" applyBorder="1" applyAlignment="1">
      <alignment horizontal="center" vertical="center"/>
    </xf>
    <xf numFmtId="0" fontId="74" fillId="0" borderId="0" xfId="0" applyFont="1" applyBorder="1" applyAlignment="1">
      <alignment horizontal="center" vertical="center"/>
    </xf>
    <xf numFmtId="0" fontId="74" fillId="0" borderId="22" xfId="0" applyFont="1" applyBorder="1" applyAlignment="1">
      <alignment horizontal="center" vertical="center"/>
    </xf>
    <xf numFmtId="0" fontId="74" fillId="0" borderId="25" xfId="0" applyFont="1" applyBorder="1" applyAlignment="1">
      <alignment horizontal="center" vertical="center"/>
    </xf>
    <xf numFmtId="0" fontId="74" fillId="0" borderId="26" xfId="0" applyFont="1" applyBorder="1" applyAlignment="1">
      <alignment horizontal="center" vertical="center"/>
    </xf>
    <xf numFmtId="0" fontId="74" fillId="0" borderId="27" xfId="0" applyFont="1" applyBorder="1" applyAlignment="1">
      <alignment horizontal="center" vertical="center"/>
    </xf>
    <xf numFmtId="0" fontId="75" fillId="5" borderId="17" xfId="0" applyFont="1" applyFill="1" applyBorder="1" applyAlignment="1">
      <alignment horizontal="center" vertical="center"/>
    </xf>
    <xf numFmtId="0" fontId="75" fillId="5" borderId="18" xfId="0" applyFont="1" applyFill="1" applyBorder="1" applyAlignment="1">
      <alignment horizontal="center" vertical="center"/>
    </xf>
    <xf numFmtId="0" fontId="75" fillId="5" borderId="25" xfId="0" applyFont="1" applyFill="1" applyBorder="1" applyAlignment="1">
      <alignment horizontal="center" vertical="center"/>
    </xf>
    <xf numFmtId="0" fontId="75" fillId="5" borderId="26" xfId="0" applyFont="1" applyFill="1" applyBorder="1" applyAlignment="1">
      <alignment horizontal="center" vertical="center"/>
    </xf>
    <xf numFmtId="0" fontId="69" fillId="0" borderId="17" xfId="0" applyFont="1" applyBorder="1" applyAlignment="1">
      <alignment horizontal="center" vertical="center"/>
    </xf>
    <xf numFmtId="0" fontId="69" fillId="0" borderId="18"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93" fillId="0" borderId="21" xfId="2" applyFont="1" applyBorder="1" applyAlignment="1" applyProtection="1">
      <alignment horizontal="center" vertical="center"/>
    </xf>
    <xf numFmtId="0" fontId="78" fillId="0" borderId="17" xfId="0" applyFont="1" applyBorder="1" applyAlignment="1">
      <alignment horizontal="center" vertical="center" wrapText="1"/>
    </xf>
    <xf numFmtId="0" fontId="78" fillId="0" borderId="18" xfId="0" applyFont="1" applyBorder="1" applyAlignment="1">
      <alignment horizontal="center" vertical="center" wrapText="1"/>
    </xf>
    <xf numFmtId="0" fontId="78" fillId="0" borderId="19" xfId="0" applyFont="1" applyBorder="1" applyAlignment="1">
      <alignment horizontal="center" vertical="center" wrapText="1"/>
    </xf>
    <xf numFmtId="0" fontId="78" fillId="0" borderId="21"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22" xfId="0" applyFont="1" applyBorder="1" applyAlignment="1">
      <alignment horizontal="center" vertical="center" wrapText="1"/>
    </xf>
    <xf numFmtId="0" fontId="78" fillId="0" borderId="25" xfId="0" applyFont="1" applyBorder="1" applyAlignment="1">
      <alignment horizontal="center" vertical="center" wrapText="1"/>
    </xf>
    <xf numFmtId="0" fontId="78" fillId="0" borderId="26" xfId="0" applyFont="1" applyBorder="1" applyAlignment="1">
      <alignment horizontal="center" vertical="center" wrapText="1"/>
    </xf>
    <xf numFmtId="0" fontId="78" fillId="0" borderId="27" xfId="0" applyFont="1" applyBorder="1" applyAlignment="1">
      <alignment horizontal="center" vertical="center" wrapText="1"/>
    </xf>
    <xf numFmtId="0" fontId="77" fillId="0" borderId="19" xfId="0" applyFont="1" applyBorder="1" applyAlignment="1">
      <alignment horizontal="center" vertical="center"/>
    </xf>
    <xf numFmtId="0" fontId="77" fillId="0" borderId="27" xfId="0" applyFont="1" applyBorder="1" applyAlignment="1">
      <alignment horizontal="center" vertical="center"/>
    </xf>
    <xf numFmtId="0" fontId="76" fillId="0" borderId="19" xfId="0" applyFont="1" applyBorder="1" applyAlignment="1">
      <alignment horizontal="center"/>
    </xf>
    <xf numFmtId="0" fontId="76" fillId="0" borderId="27" xfId="0" applyFont="1" applyBorder="1" applyAlignment="1">
      <alignment horizontal="center"/>
    </xf>
    <xf numFmtId="0" fontId="7" fillId="0" borderId="36" xfId="0" applyFont="1" applyBorder="1" applyAlignment="1">
      <alignment horizontal="right"/>
    </xf>
    <xf numFmtId="0" fontId="7" fillId="0" borderId="64" xfId="0" applyFont="1" applyBorder="1" applyAlignment="1">
      <alignment horizontal="right"/>
    </xf>
    <xf numFmtId="0" fontId="7" fillId="0" borderId="37" xfId="0" applyFont="1" applyBorder="1" applyAlignment="1">
      <alignment horizontal="right"/>
    </xf>
    <xf numFmtId="0" fontId="7" fillId="0" borderId="36" xfId="0" applyFont="1" applyBorder="1" applyAlignment="1">
      <alignment horizontal="center"/>
    </xf>
    <xf numFmtId="0" fontId="7" fillId="0" borderId="64" xfId="0" applyFont="1" applyBorder="1" applyAlignment="1">
      <alignment horizontal="center"/>
    </xf>
    <xf numFmtId="0" fontId="7" fillId="0" borderId="37" xfId="0" applyFont="1" applyBorder="1" applyAlignment="1">
      <alignment horizontal="center"/>
    </xf>
    <xf numFmtId="0" fontId="54" fillId="0" borderId="36" xfId="2" applyFont="1" applyBorder="1" applyAlignment="1" applyProtection="1">
      <alignment horizontal="center"/>
    </xf>
    <xf numFmtId="0" fontId="54" fillId="0" borderId="64" xfId="2" applyFont="1" applyBorder="1" applyAlignment="1" applyProtection="1">
      <alignment horizontal="center"/>
    </xf>
    <xf numFmtId="0" fontId="54" fillId="0" borderId="37" xfId="2" applyFont="1" applyBorder="1" applyAlignment="1" applyProtection="1">
      <alignment horizontal="center"/>
    </xf>
    <xf numFmtId="0" fontId="7" fillId="0" borderId="1" xfId="0" applyFont="1" applyBorder="1" applyAlignment="1">
      <alignment horizontal="left"/>
    </xf>
    <xf numFmtId="0" fontId="7" fillId="0" borderId="24" xfId="0" applyFont="1" applyBorder="1" applyAlignment="1">
      <alignment horizontal="left"/>
    </xf>
    <xf numFmtId="1" fontId="7" fillId="0" borderId="8" xfId="0" applyNumberFormat="1" applyFont="1" applyBorder="1" applyAlignment="1">
      <alignment horizontal="left"/>
    </xf>
    <xf numFmtId="1" fontId="7" fillId="0" borderId="9" xfId="0" applyNumberFormat="1"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83" fillId="0" borderId="19" xfId="0" applyFont="1" applyBorder="1" applyAlignment="1">
      <alignment horizontal="center"/>
    </xf>
    <xf numFmtId="0" fontId="83" fillId="0" borderId="27" xfId="0" applyFont="1" applyBorder="1" applyAlignment="1">
      <alignment horizontal="center"/>
    </xf>
    <xf numFmtId="0" fontId="81" fillId="0" borderId="17" xfId="0" applyFont="1" applyBorder="1" applyAlignment="1">
      <alignment horizontal="center" vertical="center"/>
    </xf>
    <xf numFmtId="0" fontId="81" fillId="0" borderId="18" xfId="0" applyFont="1" applyBorder="1" applyAlignment="1">
      <alignment horizontal="center" vertical="center"/>
    </xf>
    <xf numFmtId="0" fontId="81" fillId="0" borderId="19" xfId="0" applyFont="1" applyBorder="1" applyAlignment="1">
      <alignment horizontal="center" vertical="center"/>
    </xf>
    <xf numFmtId="0" fontId="81" fillId="0" borderId="21" xfId="0" applyFont="1" applyBorder="1" applyAlignment="1">
      <alignment horizontal="center" vertical="center"/>
    </xf>
    <xf numFmtId="0" fontId="81" fillId="0" borderId="0" xfId="0" applyFont="1" applyBorder="1" applyAlignment="1">
      <alignment horizontal="center" vertical="center"/>
    </xf>
    <xf numFmtId="0" fontId="81" fillId="0" borderId="22" xfId="0" applyFont="1" applyBorder="1" applyAlignment="1">
      <alignment horizontal="center" vertical="center"/>
    </xf>
    <xf numFmtId="0" fontId="81" fillId="0" borderId="25" xfId="0" applyFont="1" applyBorder="1" applyAlignment="1">
      <alignment horizontal="center" vertical="center"/>
    </xf>
    <xf numFmtId="0" fontId="81" fillId="0" borderId="26" xfId="0" applyFont="1" applyBorder="1" applyAlignment="1">
      <alignment horizontal="center" vertical="center"/>
    </xf>
    <xf numFmtId="0" fontId="81" fillId="0" borderId="27" xfId="0" applyFont="1" applyBorder="1" applyAlignment="1">
      <alignment horizontal="center" vertical="center"/>
    </xf>
    <xf numFmtId="0" fontId="9" fillId="4" borderId="73" xfId="0" applyFont="1" applyFill="1" applyBorder="1" applyAlignment="1">
      <alignment horizontal="center" vertical="center"/>
    </xf>
    <xf numFmtId="0" fontId="39" fillId="4" borderId="17" xfId="0" applyFont="1" applyFill="1" applyBorder="1" applyAlignment="1">
      <alignment horizontal="center" vertical="center"/>
    </xf>
    <xf numFmtId="0" fontId="39" fillId="4" borderId="18" xfId="0" applyFont="1" applyFill="1" applyBorder="1" applyAlignment="1">
      <alignment horizontal="center" vertical="center"/>
    </xf>
    <xf numFmtId="0" fontId="39" fillId="4" borderId="19"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27" xfId="0" applyFont="1" applyFill="1" applyBorder="1" applyAlignment="1">
      <alignment horizontal="center" vertical="center"/>
    </xf>
    <xf numFmtId="0" fontId="85" fillId="0" borderId="17" xfId="0" applyFont="1" applyBorder="1" applyAlignment="1">
      <alignment horizontal="center" vertical="center"/>
    </xf>
    <xf numFmtId="0" fontId="85" fillId="0" borderId="18" xfId="0" applyFont="1" applyBorder="1" applyAlignment="1">
      <alignment horizontal="center" vertical="center"/>
    </xf>
    <xf numFmtId="0" fontId="85" fillId="0" borderId="25" xfId="0" applyFont="1" applyBorder="1" applyAlignment="1">
      <alignment horizontal="center" vertical="center"/>
    </xf>
    <xf numFmtId="0" fontId="85" fillId="0" borderId="26" xfId="0" applyFont="1" applyBorder="1" applyAlignment="1">
      <alignment horizontal="center" vertical="center"/>
    </xf>
    <xf numFmtId="0" fontId="79" fillId="0" borderId="17" xfId="0" applyFont="1" applyBorder="1" applyAlignment="1">
      <alignment horizontal="center" vertical="center"/>
    </xf>
    <xf numFmtId="0" fontId="79" fillId="0" borderId="18" xfId="0" applyFont="1" applyBorder="1" applyAlignment="1">
      <alignment horizontal="center" vertical="center"/>
    </xf>
    <xf numFmtId="0" fontId="79" fillId="0" borderId="21" xfId="0" applyFont="1" applyBorder="1" applyAlignment="1">
      <alignment horizontal="center" vertical="center"/>
    </xf>
    <xf numFmtId="0" fontId="79" fillId="0" borderId="0" xfId="0" applyFont="1" applyBorder="1" applyAlignment="1">
      <alignment horizontal="center" vertical="center"/>
    </xf>
    <xf numFmtId="0" fontId="79" fillId="0" borderId="25" xfId="0" applyFont="1" applyBorder="1" applyAlignment="1">
      <alignment horizontal="center" vertical="center"/>
    </xf>
    <xf numFmtId="0" fontId="79" fillId="0" borderId="26" xfId="0" applyFont="1" applyBorder="1" applyAlignment="1">
      <alignment horizontal="center" vertical="center"/>
    </xf>
    <xf numFmtId="0" fontId="84" fillId="0" borderId="19" xfId="0" applyFont="1" applyBorder="1" applyAlignment="1">
      <alignment horizontal="center" vertical="center"/>
    </xf>
    <xf numFmtId="0" fontId="84" fillId="0" borderId="22" xfId="0" applyFont="1" applyBorder="1" applyAlignment="1">
      <alignment horizontal="center" vertical="center"/>
    </xf>
    <xf numFmtId="0" fontId="84" fillId="0" borderId="27" xfId="0" applyFont="1" applyBorder="1" applyAlignment="1">
      <alignment horizontal="center" vertical="center"/>
    </xf>
    <xf numFmtId="0" fontId="93" fillId="0" borderId="0" xfId="2" applyFont="1" applyAlignment="1" applyProtection="1">
      <alignment horizontal="center"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19" xfId="0" applyFont="1" applyFill="1" applyBorder="1" applyAlignment="1">
      <alignment horizontal="center" vertical="center"/>
    </xf>
    <xf numFmtId="0" fontId="8" fillId="0" borderId="140"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36" xfId="0" applyFont="1" applyBorder="1" applyAlignment="1">
      <alignment horizontal="center" vertical="center"/>
    </xf>
    <xf numFmtId="0" fontId="8" fillId="0" borderId="64" xfId="0" applyFont="1" applyBorder="1" applyAlignment="1">
      <alignment horizontal="center" vertical="center"/>
    </xf>
    <xf numFmtId="0" fontId="8" fillId="0" borderId="37" xfId="0" applyFont="1" applyBorder="1" applyAlignment="1">
      <alignment horizontal="center" vertical="center"/>
    </xf>
    <xf numFmtId="0" fontId="9" fillId="4" borderId="36" xfId="0" applyFont="1" applyFill="1" applyBorder="1" applyAlignment="1">
      <alignment horizontal="center" vertical="center"/>
    </xf>
    <xf numFmtId="0" fontId="9" fillId="4" borderId="64" xfId="0" applyFont="1" applyFill="1" applyBorder="1" applyAlignment="1">
      <alignment horizontal="center" vertical="center"/>
    </xf>
    <xf numFmtId="0" fontId="9" fillId="4" borderId="37" xfId="0" applyFont="1" applyFill="1" applyBorder="1" applyAlignment="1">
      <alignment horizontal="center" vertical="center"/>
    </xf>
    <xf numFmtId="0" fontId="7" fillId="5" borderId="17" xfId="0" applyFont="1" applyFill="1" applyBorder="1" applyAlignment="1">
      <alignment horizontal="right"/>
    </xf>
    <xf numFmtId="0" fontId="7" fillId="5" borderId="19" xfId="0" applyFont="1" applyFill="1" applyBorder="1" applyAlignment="1">
      <alignment horizontal="right"/>
    </xf>
    <xf numFmtId="0" fontId="7" fillId="5" borderId="36" xfId="0" applyFont="1" applyFill="1" applyBorder="1" applyAlignment="1">
      <alignment horizontal="right"/>
    </xf>
    <xf numFmtId="0" fontId="7" fillId="5" borderId="37" xfId="0" applyFont="1" applyFill="1" applyBorder="1" applyAlignment="1">
      <alignment horizontal="right"/>
    </xf>
    <xf numFmtId="0" fontId="31" fillId="4" borderId="15" xfId="0" applyFont="1" applyFill="1" applyBorder="1" applyAlignment="1">
      <alignment horizontal="center"/>
    </xf>
    <xf numFmtId="0" fontId="31" fillId="4" borderId="80" xfId="0" applyFont="1" applyFill="1" applyBorder="1" applyAlignment="1">
      <alignment horizontal="center"/>
    </xf>
    <xf numFmtId="0" fontId="31" fillId="4" borderId="16" xfId="0" applyFont="1" applyFill="1" applyBorder="1" applyAlignment="1">
      <alignment horizontal="center"/>
    </xf>
    <xf numFmtId="0" fontId="9" fillId="4" borderId="15" xfId="0" applyFont="1" applyFill="1" applyBorder="1" applyAlignment="1">
      <alignment horizontal="center"/>
    </xf>
    <xf numFmtId="0" fontId="9" fillId="4" borderId="80" xfId="0" applyFont="1" applyFill="1" applyBorder="1" applyAlignment="1">
      <alignment horizontal="center"/>
    </xf>
    <xf numFmtId="0" fontId="9" fillId="4" borderId="16" xfId="0" applyFont="1" applyFill="1" applyBorder="1" applyAlignment="1">
      <alignment horizontal="center"/>
    </xf>
    <xf numFmtId="10" fontId="7" fillId="0" borderId="36" xfId="0" applyNumberFormat="1" applyFont="1" applyBorder="1" applyAlignment="1">
      <alignment horizontal="center"/>
    </xf>
    <xf numFmtId="10" fontId="7" fillId="0" borderId="37" xfId="0" applyNumberFormat="1" applyFont="1" applyBorder="1" applyAlignment="1">
      <alignment horizontal="center"/>
    </xf>
    <xf numFmtId="10" fontId="7" fillId="0" borderId="64" xfId="0" applyNumberFormat="1" applyFont="1" applyBorder="1" applyAlignment="1">
      <alignment horizontal="center"/>
    </xf>
    <xf numFmtId="0" fontId="7" fillId="0" borderId="0" xfId="0" applyFont="1" applyBorder="1" applyAlignment="1">
      <alignment horizontal="center"/>
    </xf>
    <xf numFmtId="1" fontId="7" fillId="0" borderId="0" xfId="0" applyNumberFormat="1" applyFont="1" applyBorder="1" applyAlignment="1">
      <alignment horizontal="center"/>
    </xf>
    <xf numFmtId="10" fontId="7" fillId="0" borderId="0" xfId="0" applyNumberFormat="1" applyFont="1" applyBorder="1" applyAlignment="1">
      <alignment horizontal="center"/>
    </xf>
    <xf numFmtId="0" fontId="8" fillId="0" borderId="0" xfId="0" applyFont="1" applyBorder="1" applyAlignment="1">
      <alignment horizontal="center"/>
    </xf>
    <xf numFmtId="0" fontId="9" fillId="4" borderId="4" xfId="0" applyFont="1" applyFill="1" applyBorder="1" applyAlignment="1">
      <alignment horizontal="right" vertical="center"/>
    </xf>
    <xf numFmtId="0" fontId="9" fillId="4" borderId="5" xfId="0" applyFont="1" applyFill="1" applyBorder="1" applyAlignment="1">
      <alignment horizontal="right" vertical="center"/>
    </xf>
    <xf numFmtId="0" fontId="9" fillId="4" borderId="6" xfId="0" applyFont="1" applyFill="1" applyBorder="1" applyAlignment="1">
      <alignment horizontal="right" vertical="center"/>
    </xf>
    <xf numFmtId="0" fontId="7" fillId="8" borderId="17"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26" xfId="0" applyFont="1" applyFill="1" applyBorder="1" applyAlignment="1">
      <alignment horizontal="center" vertical="center" wrapText="1"/>
    </xf>
    <xf numFmtId="0" fontId="8" fillId="8" borderId="27" xfId="0" applyFont="1" applyFill="1" applyBorder="1" applyAlignment="1">
      <alignment horizontal="center" vertical="center" wrapText="1"/>
    </xf>
    <xf numFmtId="0" fontId="81" fillId="0" borderId="98" xfId="0" applyFont="1" applyBorder="1" applyAlignment="1">
      <alignment horizontal="center" vertical="center"/>
    </xf>
    <xf numFmtId="0" fontId="81" fillId="0" borderId="77" xfId="0" applyFont="1" applyBorder="1" applyAlignment="1">
      <alignment horizontal="center" vertical="center"/>
    </xf>
    <xf numFmtId="0" fontId="81" fillId="0" borderId="99" xfId="0" applyFont="1" applyBorder="1" applyAlignment="1">
      <alignment horizontal="center" vertical="center"/>
    </xf>
    <xf numFmtId="0" fontId="9" fillId="4" borderId="68" xfId="0" applyFont="1" applyFill="1" applyBorder="1" applyAlignment="1">
      <alignment horizontal="right"/>
    </xf>
    <xf numFmtId="0" fontId="68" fillId="0" borderId="0" xfId="0" applyFont="1" applyBorder="1" applyAlignment="1">
      <alignment horizontal="center"/>
    </xf>
    <xf numFmtId="0" fontId="42" fillId="0" borderId="0" xfId="2" applyFont="1" applyAlignment="1" applyProtection="1">
      <alignment horizontal="center" vertical="center"/>
    </xf>
    <xf numFmtId="0" fontId="22" fillId="13" borderId="1" xfId="0" applyFont="1" applyFill="1" applyBorder="1" applyAlignment="1">
      <alignment horizontal="center" vertical="center"/>
    </xf>
    <xf numFmtId="0" fontId="39" fillId="4" borderId="36" xfId="0" applyFont="1" applyFill="1" applyBorder="1" applyAlignment="1">
      <alignment horizontal="center"/>
    </xf>
    <xf numFmtId="0" fontId="39" fillId="4" borderId="64" xfId="0" applyFont="1" applyFill="1" applyBorder="1" applyAlignment="1">
      <alignment horizontal="center"/>
    </xf>
    <xf numFmtId="0" fontId="39" fillId="4" borderId="37" xfId="0" applyFont="1" applyFill="1" applyBorder="1" applyAlignment="1">
      <alignment horizontal="center"/>
    </xf>
    <xf numFmtId="0" fontId="7" fillId="13" borderId="29" xfId="0" applyFont="1" applyFill="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2" xfId="0" applyFont="1" applyFill="1" applyBorder="1" applyAlignment="1">
      <alignment horizontal="center" vertical="center"/>
    </xf>
    <xf numFmtId="0" fontId="7" fillId="13" borderId="1" xfId="0" applyFont="1" applyFill="1" applyBorder="1" applyAlignment="1">
      <alignment horizontal="center" vertical="center"/>
    </xf>
    <xf numFmtId="0" fontId="36" fillId="0" borderId="77" xfId="2" applyFont="1" applyBorder="1" applyAlignment="1" applyProtection="1">
      <alignment horizontal="center" vertical="center"/>
    </xf>
    <xf numFmtId="0" fontId="36" fillId="0" borderId="0" xfId="2" applyFont="1" applyBorder="1" applyAlignment="1" applyProtection="1">
      <alignment horizontal="center" vertical="center"/>
    </xf>
    <xf numFmtId="0" fontId="80" fillId="0" borderId="19" xfId="0" applyFont="1" applyBorder="1" applyAlignment="1">
      <alignment horizontal="center" vertical="center"/>
    </xf>
    <xf numFmtId="0" fontId="80" fillId="0" borderId="27" xfId="0" applyFont="1" applyBorder="1" applyAlignment="1">
      <alignment horizontal="center" vertical="center"/>
    </xf>
    <xf numFmtId="0" fontId="39" fillId="4" borderId="4" xfId="0" applyFont="1" applyFill="1" applyBorder="1" applyAlignment="1">
      <alignment horizontal="center" vertical="center"/>
    </xf>
    <xf numFmtId="0" fontId="39" fillId="4" borderId="5" xfId="0" applyFont="1" applyFill="1" applyBorder="1" applyAlignment="1">
      <alignment horizontal="center" vertical="center"/>
    </xf>
    <xf numFmtId="0" fontId="39" fillId="4" borderId="6" xfId="0" applyFont="1" applyFill="1" applyBorder="1" applyAlignment="1">
      <alignment horizontal="center" vertical="center"/>
    </xf>
    <xf numFmtId="0" fontId="1" fillId="19" borderId="97" xfId="0" applyFont="1" applyFill="1" applyBorder="1" applyAlignment="1">
      <alignment horizontal="center" vertical="center"/>
    </xf>
    <xf numFmtId="0" fontId="1" fillId="19" borderId="20" xfId="0" applyFont="1" applyFill="1" applyBorder="1" applyAlignment="1">
      <alignment horizontal="center" vertical="center"/>
    </xf>
    <xf numFmtId="0" fontId="69" fillId="0" borderId="21" xfId="0" applyFont="1" applyBorder="1" applyAlignment="1">
      <alignment horizontal="center" vertical="center"/>
    </xf>
    <xf numFmtId="0" fontId="69" fillId="0" borderId="0" xfId="0" applyFont="1" applyBorder="1" applyAlignment="1">
      <alignment horizontal="center" vertical="center"/>
    </xf>
    <xf numFmtId="0" fontId="115" fillId="0" borderId="17" xfId="0" applyNumberFormat="1" applyFont="1" applyBorder="1" applyAlignment="1">
      <alignment horizontal="center" vertical="center" wrapText="1"/>
    </xf>
    <xf numFmtId="0" fontId="115" fillId="0" borderId="18" xfId="0" applyNumberFormat="1" applyFont="1" applyBorder="1" applyAlignment="1">
      <alignment horizontal="center" vertical="center" wrapText="1"/>
    </xf>
    <xf numFmtId="0" fontId="115" fillId="0" borderId="19" xfId="0" applyNumberFormat="1" applyFont="1" applyBorder="1" applyAlignment="1">
      <alignment horizontal="center" vertical="center" wrapText="1"/>
    </xf>
    <xf numFmtId="0" fontId="115" fillId="0" borderId="21" xfId="0" applyNumberFormat="1" applyFont="1" applyBorder="1" applyAlignment="1">
      <alignment horizontal="center" vertical="center" wrapText="1"/>
    </xf>
    <xf numFmtId="0" fontId="115" fillId="0" borderId="0" xfId="0" applyNumberFormat="1" applyFont="1" applyBorder="1" applyAlignment="1">
      <alignment horizontal="center" vertical="center" wrapText="1"/>
    </xf>
    <xf numFmtId="0" fontId="115" fillId="0" borderId="22" xfId="0" applyNumberFormat="1" applyFont="1" applyBorder="1" applyAlignment="1">
      <alignment horizontal="center" vertical="center" wrapText="1"/>
    </xf>
    <xf numFmtId="0" fontId="115" fillId="0" borderId="25" xfId="0" applyNumberFormat="1" applyFont="1" applyBorder="1" applyAlignment="1">
      <alignment horizontal="center" vertical="center" wrapText="1"/>
    </xf>
    <xf numFmtId="0" fontId="115" fillId="0" borderId="26" xfId="0" applyNumberFormat="1" applyFont="1" applyBorder="1" applyAlignment="1">
      <alignment horizontal="center" vertical="center" wrapText="1"/>
    </xf>
    <xf numFmtId="0" fontId="115" fillId="0" borderId="27" xfId="0" applyNumberFormat="1" applyFont="1" applyBorder="1" applyAlignment="1">
      <alignment horizontal="center" vertical="center" wrapText="1"/>
    </xf>
    <xf numFmtId="10" fontId="115" fillId="0" borderId="36" xfId="0" applyNumberFormat="1" applyFont="1" applyBorder="1" applyAlignment="1">
      <alignment horizontal="center"/>
    </xf>
    <xf numFmtId="0" fontId="115" fillId="0" borderId="37" xfId="0" applyFont="1" applyBorder="1" applyAlignment="1">
      <alignment horizontal="center"/>
    </xf>
    <xf numFmtId="0" fontId="80" fillId="0" borderId="22" xfId="0" applyFont="1" applyBorder="1" applyAlignment="1">
      <alignment horizontal="center" vertical="center"/>
    </xf>
    <xf numFmtId="0" fontId="1" fillId="20" borderId="100" xfId="0" applyFont="1" applyFill="1" applyBorder="1" applyAlignment="1">
      <alignment horizontal="center" vertical="center"/>
    </xf>
    <xf numFmtId="0" fontId="1" fillId="20" borderId="20" xfId="0" applyFont="1" applyFill="1" applyBorder="1" applyAlignment="1">
      <alignment horizontal="center" vertical="center"/>
    </xf>
    <xf numFmtId="0" fontId="82" fillId="0" borderId="17" xfId="0" applyFont="1" applyBorder="1" applyAlignment="1">
      <alignment horizontal="center" vertical="center"/>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21" xfId="0" applyFont="1" applyBorder="1" applyAlignment="1">
      <alignment horizontal="center" vertical="center"/>
    </xf>
    <xf numFmtId="0" fontId="82" fillId="0" borderId="0" xfId="0" applyFont="1" applyBorder="1" applyAlignment="1">
      <alignment horizontal="center" vertical="center"/>
    </xf>
    <xf numFmtId="0" fontId="82" fillId="0" borderId="22" xfId="0" applyFont="1" applyBorder="1" applyAlignment="1">
      <alignment horizontal="center" vertical="center"/>
    </xf>
    <xf numFmtId="0" fontId="82" fillId="0" borderId="25" xfId="0" applyFont="1" applyBorder="1" applyAlignment="1">
      <alignment horizontal="center" vertical="center"/>
    </xf>
    <xf numFmtId="0" fontId="82" fillId="0" borderId="26" xfId="0" applyFont="1" applyBorder="1" applyAlignment="1">
      <alignment horizontal="center" vertical="center"/>
    </xf>
    <xf numFmtId="0" fontId="82" fillId="0" borderId="27" xfId="0" applyFont="1" applyBorder="1" applyAlignment="1">
      <alignment horizontal="center" vertical="center"/>
    </xf>
    <xf numFmtId="0" fontId="115" fillId="0" borderId="17" xfId="0" applyFont="1" applyBorder="1" applyAlignment="1">
      <alignment horizontal="center" wrapText="1"/>
    </xf>
    <xf numFmtId="0" fontId="115" fillId="0" borderId="19" xfId="0" applyFont="1" applyBorder="1" applyAlignment="1">
      <alignment horizontal="center" wrapText="1"/>
    </xf>
    <xf numFmtId="0" fontId="115" fillId="0" borderId="25" xfId="0" applyFont="1" applyBorder="1" applyAlignment="1">
      <alignment horizontal="center" wrapText="1"/>
    </xf>
    <xf numFmtId="0" fontId="115" fillId="0" borderId="27" xfId="0" applyFont="1" applyBorder="1" applyAlignment="1">
      <alignment horizontal="center" wrapText="1"/>
    </xf>
    <xf numFmtId="0" fontId="115" fillId="0" borderId="17" xfId="0" applyFont="1" applyBorder="1" applyAlignment="1">
      <alignment horizontal="center" vertical="center"/>
    </xf>
    <xf numFmtId="0" fontId="115" fillId="0" borderId="25" xfId="0" applyFont="1" applyBorder="1" applyAlignment="1">
      <alignment horizontal="center" vertical="center"/>
    </xf>
    <xf numFmtId="0" fontId="115" fillId="0" borderId="17" xfId="0" applyFont="1" applyBorder="1" applyAlignment="1">
      <alignment horizontal="center" vertical="center" wrapText="1"/>
    </xf>
    <xf numFmtId="0" fontId="115" fillId="0" borderId="19" xfId="0" applyFont="1" applyBorder="1" applyAlignment="1">
      <alignment horizontal="center" vertical="center" wrapText="1"/>
    </xf>
    <xf numFmtId="0" fontId="115" fillId="0" borderId="25" xfId="0" applyFont="1" applyBorder="1" applyAlignment="1">
      <alignment horizontal="center" vertical="center" wrapText="1"/>
    </xf>
    <xf numFmtId="0" fontId="115" fillId="0" borderId="27" xfId="0" applyFont="1" applyBorder="1" applyAlignment="1">
      <alignment horizontal="center" vertical="center" wrapText="1"/>
    </xf>
    <xf numFmtId="0" fontId="115" fillId="0" borderId="97" xfId="0" applyFont="1" applyBorder="1" applyAlignment="1">
      <alignment horizontal="center" vertical="center" wrapText="1"/>
    </xf>
    <xf numFmtId="0" fontId="115" fillId="0" borderId="20" xfId="0" applyFont="1" applyBorder="1" applyAlignment="1">
      <alignment horizontal="center" vertical="center" wrapText="1"/>
    </xf>
    <xf numFmtId="9" fontId="124" fillId="0" borderId="17" xfId="4" applyFont="1" applyBorder="1" applyAlignment="1">
      <alignment horizontal="center" vertical="center"/>
    </xf>
    <xf numFmtId="9" fontId="124" fillId="0" borderId="18" xfId="4" applyFont="1" applyBorder="1" applyAlignment="1">
      <alignment horizontal="center" vertical="center"/>
    </xf>
    <xf numFmtId="9" fontId="124" fillId="0" borderId="19" xfId="4" applyFont="1" applyBorder="1" applyAlignment="1">
      <alignment horizontal="center" vertical="center"/>
    </xf>
    <xf numFmtId="9" fontId="124" fillId="0" borderId="21" xfId="4" applyFont="1" applyBorder="1" applyAlignment="1">
      <alignment horizontal="center" vertical="center"/>
    </xf>
    <xf numFmtId="9" fontId="124" fillId="0" borderId="0" xfId="4" applyFont="1" applyBorder="1" applyAlignment="1">
      <alignment horizontal="center" vertical="center"/>
    </xf>
    <xf numFmtId="9" fontId="124" fillId="0" borderId="22" xfId="4" applyFont="1" applyBorder="1" applyAlignment="1">
      <alignment horizontal="center" vertical="center"/>
    </xf>
    <xf numFmtId="9" fontId="124" fillId="0" borderId="25" xfId="4" applyFont="1" applyBorder="1" applyAlignment="1">
      <alignment horizontal="center" vertical="center"/>
    </xf>
    <xf numFmtId="9" fontId="124" fillId="0" borderId="26" xfId="4" applyFont="1" applyBorder="1" applyAlignment="1">
      <alignment horizontal="center" vertical="center"/>
    </xf>
    <xf numFmtId="9" fontId="124" fillId="0" borderId="27" xfId="4"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31" fillId="4" borderId="36" xfId="0" applyFont="1" applyFill="1" applyBorder="1" applyAlignment="1">
      <alignment horizontal="center" vertical="center"/>
    </xf>
    <xf numFmtId="0" fontId="31" fillId="4" borderId="64" xfId="0" applyFont="1" applyFill="1" applyBorder="1" applyAlignment="1">
      <alignment horizontal="center" vertical="center"/>
    </xf>
    <xf numFmtId="0" fontId="31" fillId="4" borderId="37" xfId="0" applyFont="1" applyFill="1" applyBorder="1" applyAlignment="1">
      <alignment horizontal="center" vertical="center"/>
    </xf>
    <xf numFmtId="0" fontId="40" fillId="4" borderId="17" xfId="0" applyFont="1" applyFill="1" applyBorder="1" applyAlignment="1">
      <alignment horizontal="center"/>
    </xf>
    <xf numFmtId="0" fontId="40" fillId="4" borderId="18" xfId="0" applyFont="1" applyFill="1" applyBorder="1" applyAlignment="1">
      <alignment horizontal="center"/>
    </xf>
    <xf numFmtId="0" fontId="40" fillId="4" borderId="19" xfId="0" applyFont="1" applyFill="1" applyBorder="1" applyAlignment="1">
      <alignment horizont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36" xfId="0" applyFont="1" applyFill="1" applyBorder="1" applyAlignment="1">
      <alignment horizontal="center"/>
    </xf>
    <xf numFmtId="0" fontId="9" fillId="4" borderId="64" xfId="0" applyFont="1" applyFill="1" applyBorder="1" applyAlignment="1">
      <alignment horizontal="center"/>
    </xf>
    <xf numFmtId="0" fontId="9" fillId="4" borderId="37" xfId="0" applyFont="1" applyFill="1" applyBorder="1" applyAlignment="1">
      <alignment horizontal="center"/>
    </xf>
    <xf numFmtId="170" fontId="7" fillId="7" borderId="36" xfId="1" applyNumberFormat="1" applyFont="1" applyFill="1" applyBorder="1" applyAlignment="1">
      <alignment horizontal="center" vertical="top"/>
    </xf>
    <xf numFmtId="170" fontId="7" fillId="7" borderId="37" xfId="1" applyNumberFormat="1" applyFont="1" applyFill="1" applyBorder="1" applyAlignment="1">
      <alignment horizontal="center" vertical="top"/>
    </xf>
    <xf numFmtId="0" fontId="11" fillId="5" borderId="0" xfId="0" applyFont="1" applyFill="1" applyAlignment="1">
      <alignment horizontal="center"/>
    </xf>
    <xf numFmtId="0" fontId="9" fillId="4" borderId="40" xfId="0" applyFont="1" applyFill="1" applyBorder="1" applyAlignment="1">
      <alignment horizontal="center"/>
    </xf>
    <xf numFmtId="0" fontId="9" fillId="4" borderId="42" xfId="0" applyFont="1" applyFill="1" applyBorder="1" applyAlignment="1">
      <alignment horizontal="center"/>
    </xf>
    <xf numFmtId="0" fontId="64" fillId="11" borderId="59" xfId="0" applyFont="1" applyFill="1" applyBorder="1" applyAlignment="1">
      <alignment horizontal="left" vertical="center" wrapText="1"/>
    </xf>
    <xf numFmtId="0" fontId="64" fillId="11" borderId="84" xfId="0" applyFont="1" applyFill="1" applyBorder="1" applyAlignment="1">
      <alignment horizontal="left" vertical="center" wrapText="1"/>
    </xf>
    <xf numFmtId="0" fontId="64" fillId="11" borderId="60" xfId="0" applyFont="1" applyFill="1" applyBorder="1" applyAlignment="1">
      <alignment horizontal="left" vertical="center" wrapText="1"/>
    </xf>
    <xf numFmtId="0" fontId="48" fillId="4" borderId="47" xfId="0" applyFont="1" applyFill="1" applyBorder="1" applyAlignment="1">
      <alignment horizontal="center"/>
    </xf>
    <xf numFmtId="0" fontId="48" fillId="4" borderId="48" xfId="0" applyFont="1" applyFill="1" applyBorder="1" applyAlignment="1">
      <alignment horizontal="center"/>
    </xf>
    <xf numFmtId="0" fontId="48" fillId="4" borderId="49" xfId="0" applyFont="1" applyFill="1" applyBorder="1" applyAlignment="1">
      <alignment horizontal="center"/>
    </xf>
    <xf numFmtId="0" fontId="64" fillId="0" borderId="59" xfId="0" applyFont="1" applyBorder="1" applyAlignment="1">
      <alignment horizontal="left" vertical="center"/>
    </xf>
    <xf numFmtId="0" fontId="64" fillId="0" borderId="84" xfId="0" applyFont="1" applyBorder="1" applyAlignment="1">
      <alignment horizontal="left" vertical="center"/>
    </xf>
    <xf numFmtId="0" fontId="64" fillId="0" borderId="60" xfId="0" applyFont="1" applyBorder="1" applyAlignment="1">
      <alignment horizontal="left" vertical="center"/>
    </xf>
    <xf numFmtId="0" fontId="1" fillId="0" borderId="59" xfId="0" applyFont="1" applyBorder="1" applyAlignment="1">
      <alignment horizontal="left"/>
    </xf>
    <xf numFmtId="0" fontId="1" fillId="0" borderId="84" xfId="0" applyFont="1" applyBorder="1" applyAlignment="1">
      <alignment horizontal="left"/>
    </xf>
    <xf numFmtId="0" fontId="1" fillId="0" borderId="60" xfId="0" applyFont="1" applyBorder="1" applyAlignment="1">
      <alignment horizontal="left"/>
    </xf>
    <xf numFmtId="0" fontId="0" fillId="0" borderId="103" xfId="0" applyBorder="1" applyAlignment="1">
      <alignment horizontal="left"/>
    </xf>
    <xf numFmtId="0" fontId="64" fillId="11" borderId="59" xfId="0" applyFont="1" applyFill="1" applyBorder="1" applyAlignment="1">
      <alignment horizontal="left" wrapText="1"/>
    </xf>
    <xf numFmtId="0" fontId="64" fillId="11" borderId="84" xfId="0" applyFont="1" applyFill="1" applyBorder="1" applyAlignment="1">
      <alignment horizontal="left" wrapText="1"/>
    </xf>
    <xf numFmtId="0" fontId="64" fillId="11" borderId="60" xfId="0" applyFont="1" applyFill="1" applyBorder="1" applyAlignment="1">
      <alignment horizontal="left" wrapText="1"/>
    </xf>
    <xf numFmtId="0" fontId="1" fillId="0" borderId="59" xfId="0" applyFont="1" applyBorder="1" applyAlignment="1"/>
    <xf numFmtId="0" fontId="1" fillId="0" borderId="84" xfId="0" applyFont="1" applyBorder="1" applyAlignment="1"/>
    <xf numFmtId="0" fontId="1" fillId="0" borderId="60" xfId="0" applyFont="1" applyBorder="1" applyAlignment="1"/>
    <xf numFmtId="164" fontId="13" fillId="0" borderId="0" xfId="2" applyNumberFormat="1" applyFont="1" applyBorder="1" applyAlignment="1" applyProtection="1">
      <alignment horizontal="center"/>
    </xf>
    <xf numFmtId="164" fontId="9" fillId="2" borderId="0" xfId="3" applyNumberFormat="1" applyFont="1" applyBorder="1" applyAlignment="1">
      <alignment horizontal="center"/>
    </xf>
  </cellXfs>
  <cellStyles count="5">
    <cellStyle name="Accent6" xfId="3" builtinId="49"/>
    <cellStyle name="Comma" xfId="1" builtinId="3"/>
    <cellStyle name="Hyperlink" xfId="2" builtinId="8"/>
    <cellStyle name="Normal" xfId="0" builtinId="0"/>
    <cellStyle name="Percent" xfId="4" builtinId="5"/>
  </cellStyles>
  <dxfs count="360">
    <dxf>
      <font>
        <b/>
        <i val="0"/>
        <color theme="0"/>
      </font>
      <fill>
        <patternFill>
          <bgColor theme="5"/>
        </patternFill>
      </fill>
    </dxf>
    <dxf>
      <font>
        <strike val="0"/>
        <outline val="0"/>
        <shadow val="0"/>
        <u val="none"/>
        <vertAlign val="baseline"/>
        <sz val="10"/>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numFmt numFmtId="165" formatCode="[$-409]mmm\-yy;@"/>
    </dxf>
    <dxf>
      <font>
        <b/>
        <i val="0"/>
        <strike val="0"/>
        <condense val="0"/>
        <extend val="0"/>
        <outline val="0"/>
        <shadow val="0"/>
        <u val="none"/>
        <vertAlign val="baseline"/>
        <sz val="10"/>
        <color theme="0"/>
        <name val="Arial"/>
        <scheme val="none"/>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ont>
        <color rgb="FF00B050"/>
      </font>
    </dxf>
    <dxf>
      <font>
        <color rgb="FFFF0000"/>
      </font>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ont>
        <color rgb="FF00B050"/>
      </font>
    </dxf>
    <dxf>
      <font>
        <color rgb="FFFF0000"/>
      </font>
    </dxf>
    <dxf>
      <font>
        <color rgb="FF00B050"/>
      </font>
    </dxf>
    <dxf>
      <font>
        <color rgb="FFFF0000"/>
      </font>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00B050"/>
      </font>
    </dxf>
    <dxf>
      <font>
        <color rgb="FFFF0000"/>
      </font>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rgb="FFCCFF99"/>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9" defaultPivotStyle="PivotStyleLight16"/>
  <colors>
    <mruColors>
      <color rgb="FFCCFF99"/>
      <color rgb="FF0000FF"/>
      <color rgb="FFD4DAEC"/>
      <color rgb="FFFFFF99"/>
      <color rgb="FFCCFF66"/>
      <color rgb="FFFF6565"/>
      <color rgb="FF027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'Cash Flow'!$E$17:$E$17</c:f>
              <c:strCache>
                <c:ptCount val="1"/>
                <c:pt idx="0">
                  <c:v>Cf-finance</c:v>
                </c:pt>
              </c:strCache>
            </c:strRef>
          </c:tx>
          <c:spPr>
            <a:solidFill>
              <a:srgbClr val="FF0000"/>
            </a:solidFill>
          </c:spPr>
          <c:invertIfNegative val="0"/>
          <c:cat>
            <c:numRef>
              <c:f>'Cash Flow'!$D$18:$D$27</c:f>
              <c:numCache>
                <c:formatCode>[$-409]mmm\-yy;@</c:formatCode>
                <c:ptCount val="10"/>
                <c:pt idx="0">
                  <c:v>43921</c:v>
                </c:pt>
                <c:pt idx="1">
                  <c:v>43555</c:v>
                </c:pt>
                <c:pt idx="2">
                  <c:v>43190</c:v>
                </c:pt>
                <c:pt idx="3">
                  <c:v>42825</c:v>
                </c:pt>
                <c:pt idx="4">
                  <c:v>42460</c:v>
                </c:pt>
                <c:pt idx="5">
                  <c:v>42094</c:v>
                </c:pt>
                <c:pt idx="6">
                  <c:v>41729</c:v>
                </c:pt>
                <c:pt idx="7">
                  <c:v>41364</c:v>
                </c:pt>
                <c:pt idx="8">
                  <c:v>40999</c:v>
                </c:pt>
                <c:pt idx="9">
                  <c:v>40633</c:v>
                </c:pt>
              </c:numCache>
            </c:numRef>
          </c:cat>
          <c:val>
            <c:numRef>
              <c:f>'Cash Flow'!$E$18:$E$27</c:f>
              <c:numCache>
                <c:formatCode>_ * #,##0_ ;_ * \-#,##0_ ;_ * "-"??_ ;_ @_ </c:formatCode>
                <c:ptCount val="10"/>
                <c:pt idx="0">
                  <c:v>-141.31</c:v>
                </c:pt>
                <c:pt idx="1">
                  <c:v>-105.77</c:v>
                </c:pt>
                <c:pt idx="2">
                  <c:v>-45.45</c:v>
                </c:pt>
                <c:pt idx="3">
                  <c:v>100.51</c:v>
                </c:pt>
                <c:pt idx="4">
                  <c:v>-74.260000000000005</c:v>
                </c:pt>
                <c:pt idx="5">
                  <c:v>-11.97</c:v>
                </c:pt>
                <c:pt idx="6">
                  <c:v>-12.74</c:v>
                </c:pt>
                <c:pt idx="7">
                  <c:v>0.81</c:v>
                </c:pt>
                <c:pt idx="8">
                  <c:v>-14.09</c:v>
                </c:pt>
                <c:pt idx="9">
                  <c:v>19.010000000000002</c:v>
                </c:pt>
              </c:numCache>
            </c:numRef>
          </c:val>
        </c:ser>
        <c:ser>
          <c:idx val="1"/>
          <c:order val="1"/>
          <c:tx>
            <c:strRef>
              <c:f>'Cash Flow'!$F$17:$F$17</c:f>
              <c:strCache>
                <c:ptCount val="1"/>
                <c:pt idx="0">
                  <c:v>Cf-invest</c:v>
                </c:pt>
              </c:strCache>
            </c:strRef>
          </c:tx>
          <c:spPr>
            <a:solidFill>
              <a:srgbClr val="00B050"/>
            </a:solidFill>
          </c:spPr>
          <c:invertIfNegative val="0"/>
          <c:cat>
            <c:numRef>
              <c:f>'Cash Flow'!$D$18:$D$27</c:f>
              <c:numCache>
                <c:formatCode>[$-409]mmm\-yy;@</c:formatCode>
                <c:ptCount val="10"/>
                <c:pt idx="0">
                  <c:v>43921</c:v>
                </c:pt>
                <c:pt idx="1">
                  <c:v>43555</c:v>
                </c:pt>
                <c:pt idx="2">
                  <c:v>43190</c:v>
                </c:pt>
                <c:pt idx="3">
                  <c:v>42825</c:v>
                </c:pt>
                <c:pt idx="4">
                  <c:v>42460</c:v>
                </c:pt>
                <c:pt idx="5">
                  <c:v>42094</c:v>
                </c:pt>
                <c:pt idx="6">
                  <c:v>41729</c:v>
                </c:pt>
                <c:pt idx="7">
                  <c:v>41364</c:v>
                </c:pt>
                <c:pt idx="8">
                  <c:v>40999</c:v>
                </c:pt>
                <c:pt idx="9">
                  <c:v>40633</c:v>
                </c:pt>
              </c:numCache>
            </c:numRef>
          </c:cat>
          <c:val>
            <c:numRef>
              <c:f>'Cash Flow'!$F$18:$F$27</c:f>
              <c:numCache>
                <c:formatCode>_ * #,##0_ ;_ * \-#,##0_ ;_ * "-"??_ ;_ @_ </c:formatCode>
                <c:ptCount val="10"/>
                <c:pt idx="0">
                  <c:v>-25.94</c:v>
                </c:pt>
                <c:pt idx="1">
                  <c:v>-26.78</c:v>
                </c:pt>
                <c:pt idx="2">
                  <c:v>-269.27</c:v>
                </c:pt>
                <c:pt idx="3">
                  <c:v>-407.76</c:v>
                </c:pt>
                <c:pt idx="4">
                  <c:v>18.13</c:v>
                </c:pt>
                <c:pt idx="5">
                  <c:v>-83.52</c:v>
                </c:pt>
                <c:pt idx="6">
                  <c:v>-39.1</c:v>
                </c:pt>
                <c:pt idx="7">
                  <c:v>5.43</c:v>
                </c:pt>
                <c:pt idx="8">
                  <c:v>-17.440000000000001</c:v>
                </c:pt>
                <c:pt idx="9">
                  <c:v>-17.600000000000001</c:v>
                </c:pt>
              </c:numCache>
            </c:numRef>
          </c:val>
        </c:ser>
        <c:ser>
          <c:idx val="2"/>
          <c:order val="2"/>
          <c:tx>
            <c:strRef>
              <c:f>'Cash Flow'!$G$17:$G$17</c:f>
              <c:strCache>
                <c:ptCount val="1"/>
                <c:pt idx="0">
                  <c:v>CFFO</c:v>
                </c:pt>
              </c:strCache>
            </c:strRef>
          </c:tx>
          <c:spPr>
            <a:solidFill>
              <a:srgbClr val="0000FF"/>
            </a:solidFill>
          </c:spPr>
          <c:invertIfNegative val="0"/>
          <c:cat>
            <c:numRef>
              <c:f>'Cash Flow'!$D$18:$D$27</c:f>
              <c:numCache>
                <c:formatCode>[$-409]mmm\-yy;@</c:formatCode>
                <c:ptCount val="10"/>
                <c:pt idx="0">
                  <c:v>43921</c:v>
                </c:pt>
                <c:pt idx="1">
                  <c:v>43555</c:v>
                </c:pt>
                <c:pt idx="2">
                  <c:v>43190</c:v>
                </c:pt>
                <c:pt idx="3">
                  <c:v>42825</c:v>
                </c:pt>
                <c:pt idx="4">
                  <c:v>42460</c:v>
                </c:pt>
                <c:pt idx="5">
                  <c:v>42094</c:v>
                </c:pt>
                <c:pt idx="6">
                  <c:v>41729</c:v>
                </c:pt>
                <c:pt idx="7">
                  <c:v>41364</c:v>
                </c:pt>
                <c:pt idx="8">
                  <c:v>40999</c:v>
                </c:pt>
                <c:pt idx="9">
                  <c:v>40633</c:v>
                </c:pt>
              </c:numCache>
            </c:numRef>
          </c:cat>
          <c:val>
            <c:numRef>
              <c:f>'Cash Flow'!$G$18:$G$27</c:f>
              <c:numCache>
                <c:formatCode>_ * #,##0_ ;_ * \-#,##0_ ;_ * "-"??_ ;_ @_ </c:formatCode>
                <c:ptCount val="10"/>
                <c:pt idx="0">
                  <c:v>125.09</c:v>
                </c:pt>
                <c:pt idx="1">
                  <c:v>183.76</c:v>
                </c:pt>
                <c:pt idx="2">
                  <c:v>280.93</c:v>
                </c:pt>
                <c:pt idx="3">
                  <c:v>277.75</c:v>
                </c:pt>
                <c:pt idx="4">
                  <c:v>122</c:v>
                </c:pt>
                <c:pt idx="5">
                  <c:v>89.34</c:v>
                </c:pt>
                <c:pt idx="6">
                  <c:v>55.56</c:v>
                </c:pt>
                <c:pt idx="7">
                  <c:v>-20.55</c:v>
                </c:pt>
                <c:pt idx="8">
                  <c:v>50.38</c:v>
                </c:pt>
                <c:pt idx="9">
                  <c:v>-7.72</c:v>
                </c:pt>
              </c:numCache>
            </c:numRef>
          </c:val>
        </c:ser>
        <c:dLbls>
          <c:showLegendKey val="0"/>
          <c:showVal val="0"/>
          <c:showCatName val="0"/>
          <c:showSerName val="0"/>
          <c:showPercent val="0"/>
          <c:showBubbleSize val="0"/>
        </c:dLbls>
        <c:gapWidth val="150"/>
        <c:overlap val="100"/>
        <c:axId val="190950016"/>
        <c:axId val="190960000"/>
      </c:barChart>
      <c:dateAx>
        <c:axId val="190950016"/>
        <c:scaling>
          <c:orientation val="minMax"/>
        </c:scaling>
        <c:delete val="0"/>
        <c:axPos val="b"/>
        <c:numFmt formatCode="[$-409]mmm\-yy;@" sourceLinked="1"/>
        <c:majorTickMark val="out"/>
        <c:minorTickMark val="none"/>
        <c:tickLblPos val="nextTo"/>
        <c:crossAx val="190960000"/>
        <c:crosses val="autoZero"/>
        <c:auto val="1"/>
        <c:lblOffset val="100"/>
        <c:baseTimeUnit val="years"/>
      </c:dateAx>
      <c:valAx>
        <c:axId val="190960000"/>
        <c:scaling>
          <c:orientation val="minMax"/>
        </c:scaling>
        <c:delete val="0"/>
        <c:axPos val="l"/>
        <c:majorGridlines/>
        <c:numFmt formatCode="_ * #,##0_ ;_ * \-#,##0_ ;_ * &quot;-&quot;??_ ;_ @_ " sourceLinked="1"/>
        <c:majorTickMark val="out"/>
        <c:minorTickMark val="none"/>
        <c:tickLblPos val="nextTo"/>
        <c:crossAx val="1909500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'Cash Flow'!$J$17</c:f>
              <c:strCache>
                <c:ptCount val="1"/>
                <c:pt idx="0">
                  <c:v>Net Profit</c:v>
                </c:pt>
              </c:strCache>
            </c:strRef>
          </c:tx>
          <c:spPr>
            <a:solidFill>
              <a:srgbClr val="92D050"/>
            </a:solidFill>
          </c:spPr>
          <c:invertIfNegative val="0"/>
          <c:cat>
            <c:numRef>
              <c:f>'Cash Flow'!$I$18:$I$27</c:f>
              <c:numCache>
                <c:formatCode>[$-409]mmm\-yy;@</c:formatCode>
                <c:ptCount val="10"/>
                <c:pt idx="0">
                  <c:v>43921</c:v>
                </c:pt>
                <c:pt idx="1">
                  <c:v>43555</c:v>
                </c:pt>
                <c:pt idx="2">
                  <c:v>43190</c:v>
                </c:pt>
                <c:pt idx="3">
                  <c:v>42825</c:v>
                </c:pt>
                <c:pt idx="4">
                  <c:v>42460</c:v>
                </c:pt>
                <c:pt idx="5">
                  <c:v>42094</c:v>
                </c:pt>
                <c:pt idx="6">
                  <c:v>41729</c:v>
                </c:pt>
                <c:pt idx="7">
                  <c:v>41364</c:v>
                </c:pt>
                <c:pt idx="8">
                  <c:v>40999</c:v>
                </c:pt>
                <c:pt idx="9">
                  <c:v>40633</c:v>
                </c:pt>
              </c:numCache>
            </c:numRef>
          </c:cat>
          <c:val>
            <c:numRef>
              <c:f>'Cash Flow'!$J$18:$J$27</c:f>
              <c:numCache>
                <c:formatCode>#,##0</c:formatCode>
                <c:ptCount val="10"/>
                <c:pt idx="0">
                  <c:v>346.49</c:v>
                </c:pt>
                <c:pt idx="1">
                  <c:v>273.63</c:v>
                </c:pt>
                <c:pt idx="2">
                  <c:v>446.47</c:v>
                </c:pt>
                <c:pt idx="3">
                  <c:v>215.66</c:v>
                </c:pt>
                <c:pt idx="4">
                  <c:v>157.5</c:v>
                </c:pt>
                <c:pt idx="5">
                  <c:v>115.92</c:v>
                </c:pt>
                <c:pt idx="6">
                  <c:v>70.41</c:v>
                </c:pt>
                <c:pt idx="7">
                  <c:v>30.05</c:v>
                </c:pt>
                <c:pt idx="8">
                  <c:v>28.05</c:v>
                </c:pt>
                <c:pt idx="9" formatCode="0">
                  <c:v>3.4</c:v>
                </c:pt>
              </c:numCache>
            </c:numRef>
          </c:val>
        </c:ser>
        <c:ser>
          <c:idx val="1"/>
          <c:order val="1"/>
          <c:tx>
            <c:strRef>
              <c:f>'Cash Flow'!$K$17</c:f>
              <c:strCache>
                <c:ptCount val="1"/>
                <c:pt idx="0">
                  <c:v>CFFO</c:v>
                </c:pt>
              </c:strCache>
            </c:strRef>
          </c:tx>
          <c:spPr>
            <a:solidFill>
              <a:srgbClr val="0000FF"/>
            </a:solidFill>
          </c:spPr>
          <c:invertIfNegative val="0"/>
          <c:cat>
            <c:numRef>
              <c:f>'Cash Flow'!$I$18:$I$27</c:f>
              <c:numCache>
                <c:formatCode>[$-409]mmm\-yy;@</c:formatCode>
                <c:ptCount val="10"/>
                <c:pt idx="0">
                  <c:v>43921</c:v>
                </c:pt>
                <c:pt idx="1">
                  <c:v>43555</c:v>
                </c:pt>
                <c:pt idx="2">
                  <c:v>43190</c:v>
                </c:pt>
                <c:pt idx="3">
                  <c:v>42825</c:v>
                </c:pt>
                <c:pt idx="4">
                  <c:v>42460</c:v>
                </c:pt>
                <c:pt idx="5">
                  <c:v>42094</c:v>
                </c:pt>
                <c:pt idx="6">
                  <c:v>41729</c:v>
                </c:pt>
                <c:pt idx="7">
                  <c:v>41364</c:v>
                </c:pt>
                <c:pt idx="8">
                  <c:v>40999</c:v>
                </c:pt>
                <c:pt idx="9">
                  <c:v>40633</c:v>
                </c:pt>
              </c:numCache>
            </c:numRef>
          </c:cat>
          <c:val>
            <c:numRef>
              <c:f>'Cash Flow'!$K$18:$K$27</c:f>
              <c:numCache>
                <c:formatCode>_ * #,##0_ ;_ * \-#,##0_ ;_ * "-"??_ ;_ @_ </c:formatCode>
                <c:ptCount val="10"/>
                <c:pt idx="0">
                  <c:v>125.09</c:v>
                </c:pt>
                <c:pt idx="1">
                  <c:v>183.76</c:v>
                </c:pt>
                <c:pt idx="2">
                  <c:v>280.93</c:v>
                </c:pt>
                <c:pt idx="3">
                  <c:v>277.75</c:v>
                </c:pt>
                <c:pt idx="4">
                  <c:v>122</c:v>
                </c:pt>
                <c:pt idx="5">
                  <c:v>89.34</c:v>
                </c:pt>
                <c:pt idx="6">
                  <c:v>55.56</c:v>
                </c:pt>
                <c:pt idx="7">
                  <c:v>-20.55</c:v>
                </c:pt>
                <c:pt idx="8">
                  <c:v>50.38</c:v>
                </c:pt>
                <c:pt idx="9">
                  <c:v>-7.72</c:v>
                </c:pt>
              </c:numCache>
            </c:numRef>
          </c:val>
        </c:ser>
        <c:dLbls>
          <c:showLegendKey val="0"/>
          <c:showVal val="0"/>
          <c:showCatName val="0"/>
          <c:showSerName val="0"/>
          <c:showPercent val="0"/>
          <c:showBubbleSize val="0"/>
        </c:dLbls>
        <c:gapWidth val="150"/>
        <c:axId val="191062784"/>
        <c:axId val="191064320"/>
      </c:barChart>
      <c:dateAx>
        <c:axId val="191062784"/>
        <c:scaling>
          <c:orientation val="minMax"/>
        </c:scaling>
        <c:delete val="0"/>
        <c:axPos val="b"/>
        <c:numFmt formatCode="[$-409]mmm\-yy;@" sourceLinked="1"/>
        <c:majorTickMark val="out"/>
        <c:minorTickMark val="none"/>
        <c:tickLblPos val="nextTo"/>
        <c:crossAx val="191064320"/>
        <c:crosses val="autoZero"/>
        <c:auto val="1"/>
        <c:lblOffset val="100"/>
        <c:baseTimeUnit val="years"/>
      </c:dateAx>
      <c:valAx>
        <c:axId val="191064320"/>
        <c:scaling>
          <c:orientation val="minMax"/>
        </c:scaling>
        <c:delete val="0"/>
        <c:axPos val="l"/>
        <c:majorGridlines/>
        <c:numFmt formatCode="#,##0" sourceLinked="1"/>
        <c:majorTickMark val="out"/>
        <c:minorTickMark val="none"/>
        <c:tickLblPos val="nextTo"/>
        <c:crossAx val="1910627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Stock Ideas'!A1"/><Relationship Id="rId2" Type="http://schemas.openxmlformats.org/officeDocument/2006/relationships/image" Target="../media/image2.png"/><Relationship Id="rId1" Type="http://schemas.openxmlformats.org/officeDocument/2006/relationships/hyperlink" Target="https://www.youtube.com/watch?v=OQ8etK_7Si4" TargetMode="External"/><Relationship Id="rId4" Type="http://schemas.openxmlformats.org/officeDocument/2006/relationships/image" Target="../media/image3.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1.xml.rels><?xml version="1.0" encoding="UTF-8" standalone="yes"?>
<Relationships xmlns="http://schemas.openxmlformats.org/package/2006/relationships"><Relationship Id="rId3" Type="http://schemas.openxmlformats.org/officeDocument/2006/relationships/hyperlink" Target="https://www.investordiary.in/articles/understanding-income-statement/" TargetMode="External"/><Relationship Id="rId7" Type="http://schemas.openxmlformats.org/officeDocument/2006/relationships/image" Target="../media/image5.jpg"/><Relationship Id="rId2" Type="http://schemas.openxmlformats.org/officeDocument/2006/relationships/image" Target="../media/image2.png"/><Relationship Id="rId1" Type="http://schemas.openxmlformats.org/officeDocument/2006/relationships/hyperlink" Target="https://www.youtube.com/watch?v=d3anvaNEKFQ" TargetMode="External"/><Relationship Id="rId6" Type="http://schemas.openxmlformats.org/officeDocument/2006/relationships/hyperlink" Target="#'Income statement CFA'!A1"/><Relationship Id="rId5" Type="http://schemas.openxmlformats.org/officeDocument/2006/relationships/hyperlink" Target="#'Cash Flow'!A1"/><Relationship Id="rId4" Type="http://schemas.openxmlformats.org/officeDocument/2006/relationships/image" Target="../media/image8.png"/></Relationships>
</file>

<file path=xl/drawings/_rels/drawing12.xml.rels><?xml version="1.0" encoding="UTF-8" standalone="yes"?>
<Relationships xmlns="http://schemas.openxmlformats.org/package/2006/relationships"><Relationship Id="rId3" Type="http://schemas.openxmlformats.org/officeDocument/2006/relationships/hyperlink" Target="https://www.youtube.com/watch?v=il-1t5jNN34" TargetMode="External"/><Relationship Id="rId7" Type="http://schemas.openxmlformats.org/officeDocument/2006/relationships/image" Target="../media/image14.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3.png"/><Relationship Id="rId5" Type="http://schemas.openxmlformats.org/officeDocument/2006/relationships/hyperlink" Target="https://www.investordiary.in/articles/understanding-cash-flow-statement/" TargetMode="External"/><Relationship Id="rId4"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hyperlink" Target="#'Relative valuation'!A1"/><Relationship Id="rId2" Type="http://schemas.openxmlformats.org/officeDocument/2006/relationships/image" Target="../media/image2.png"/><Relationship Id="rId1" Type="http://schemas.openxmlformats.org/officeDocument/2006/relationships/hyperlink" Target="https://www.youtube.com/watch?v=hA3kvNjyxpE" TargetMode="External"/><Relationship Id="rId5" Type="http://schemas.openxmlformats.org/officeDocument/2006/relationships/image" Target="../media/image15.jpeg"/><Relationship Id="rId4" Type="http://schemas.openxmlformats.org/officeDocument/2006/relationships/hyperlink" Target="#'Cash Flow'!A1"/></Relationships>
</file>

<file path=xl/drawings/_rels/drawing14.xml.rels><?xml version="1.0" encoding="UTF-8" standalone="yes"?>
<Relationships xmlns="http://schemas.openxmlformats.org/package/2006/relationships"><Relationship Id="rId3" Type="http://schemas.openxmlformats.org/officeDocument/2006/relationships/hyperlink" Target="https://www.investordiary.in/articles/understanding-relative-valuation-or-pricing/" TargetMode="External"/><Relationship Id="rId7" Type="http://schemas.openxmlformats.org/officeDocument/2006/relationships/image" Target="../media/image5.jpg"/><Relationship Id="rId2" Type="http://schemas.openxmlformats.org/officeDocument/2006/relationships/image" Target="../media/image2.png"/><Relationship Id="rId1" Type="http://schemas.openxmlformats.org/officeDocument/2006/relationships/hyperlink" Target="https://www.youtube.com/watch?v=tB_zctGUI_U" TargetMode="External"/><Relationship Id="rId6" Type="http://schemas.openxmlformats.org/officeDocument/2006/relationships/hyperlink" Target="#Profitability!A1"/><Relationship Id="rId5" Type="http://schemas.openxmlformats.org/officeDocument/2006/relationships/hyperlink" Target="#'Dhandho '!A1"/><Relationship Id="rId4" Type="http://schemas.openxmlformats.org/officeDocument/2006/relationships/image" Target="../media/image8.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6.jpeg"/><Relationship Id="rId2" Type="http://schemas.openxmlformats.org/officeDocument/2006/relationships/image" Target="../media/image6.png"/><Relationship Id="rId1" Type="http://schemas.openxmlformats.org/officeDocument/2006/relationships/hyperlink" Target="https://www.investordiary.in/articles/intrinsic-valuation/"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8.png"/><Relationship Id="rId1" Type="http://schemas.openxmlformats.org/officeDocument/2006/relationships/hyperlink" Target="https://www.investordiary.in/articles/intrinsic-valuation/" TargetMode="External"/></Relationships>
</file>

<file path=xl/drawings/_rels/drawing17.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18.xml.rels><?xml version="1.0" encoding="UTF-8" standalone="yes"?>
<Relationships xmlns="http://schemas.openxmlformats.org/package/2006/relationships"><Relationship Id="rId3" Type="http://schemas.openxmlformats.org/officeDocument/2006/relationships/image" Target="../media/image19.jpeg"/><Relationship Id="rId2" Type="http://schemas.openxmlformats.org/officeDocument/2006/relationships/hyperlink" Target="#'Intrinsic Values'!J3"/><Relationship Id="rId1" Type="http://schemas.openxmlformats.org/officeDocument/2006/relationships/image" Target="../media/image18.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5.jpg"/></Relationships>
</file>

<file path=xl/drawings/_rels/drawing2.xml.rels><?xml version="1.0" encoding="UTF-8" standalone="yes"?>
<Relationships xmlns="http://schemas.openxmlformats.org/package/2006/relationships"><Relationship Id="rId3" Type="http://schemas.openxmlformats.org/officeDocument/2006/relationships/hyperlink" Target="https://www.screener.in/screens/246641/MultiBagger-Ideas/" TargetMode="External"/><Relationship Id="rId7" Type="http://schemas.openxmlformats.org/officeDocument/2006/relationships/image" Target="../media/image5.jpg"/><Relationship Id="rId2" Type="http://schemas.openxmlformats.org/officeDocument/2006/relationships/image" Target="../media/image4.jpeg"/><Relationship Id="rId1" Type="http://schemas.openxmlformats.org/officeDocument/2006/relationships/hyperlink" Target="https://www.screener.in/screens/210598/WINNER-STOCKS/" TargetMode="External"/><Relationship Id="rId6" Type="http://schemas.openxmlformats.org/officeDocument/2006/relationships/hyperlink" Target="https://www.screener.in/screens/280142/MULTIBAGGER-IDEAS/" TargetMode="External"/><Relationship Id="rId5" Type="http://schemas.openxmlformats.org/officeDocument/2006/relationships/hyperlink" Target="#INSTRUCTIONS!A1"/><Relationship Id="rId4" Type="http://schemas.openxmlformats.org/officeDocument/2006/relationships/hyperlink" Target="#summary!A1"/></Relationships>
</file>

<file path=xl/drawings/_rels/drawing20.xml.rels><?xml version="1.0" encoding="UTF-8" standalone="yes"?>
<Relationships xmlns="http://schemas.openxmlformats.org/package/2006/relationships"><Relationship Id="rId1" Type="http://schemas.openxmlformats.org/officeDocument/2006/relationships/image" Target="../media/image20.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5.jpg"/></Relationships>
</file>

<file path=xl/drawings/_rels/drawing3.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hyperlink" Target="#'Stock Ideas'!A1"/><Relationship Id="rId1" Type="http://schemas.openxmlformats.org/officeDocument/2006/relationships/hyperlink" Target="#'2-minute test'!A1"/></Relationships>
</file>

<file path=xl/drawings/_rels/drawing4.xml.rels><?xml version="1.0" encoding="UTF-8" standalone="yes"?>
<Relationships xmlns="http://schemas.openxmlformats.org/package/2006/relationships"><Relationship Id="rId3" Type="http://schemas.openxmlformats.org/officeDocument/2006/relationships/hyperlink" Target="https://www.investordiary.in/articles/2-minute-test/" TargetMode="External"/><Relationship Id="rId7" Type="http://schemas.openxmlformats.org/officeDocument/2006/relationships/image" Target="../media/image5.jpg"/><Relationship Id="rId2" Type="http://schemas.openxmlformats.org/officeDocument/2006/relationships/image" Target="../media/image2.png"/><Relationship Id="rId1" Type="http://schemas.openxmlformats.org/officeDocument/2006/relationships/hyperlink" Target="https://www.youtube.com/watch?v=lUp-VVV5iUY" TargetMode="External"/><Relationship Id="rId6" Type="http://schemas.openxmlformats.org/officeDocument/2006/relationships/hyperlink" Target="#summary!A1"/><Relationship Id="rId5" Type="http://schemas.openxmlformats.org/officeDocument/2006/relationships/hyperlink" Target="#'Balance sheet Flow chart'!A1"/><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3" Type="http://schemas.openxmlformats.org/officeDocument/2006/relationships/hyperlink" Target="https://www.investordiary.in/articles/understanding-balance-sheet/" TargetMode="External"/><Relationship Id="rId7" Type="http://schemas.openxmlformats.org/officeDocument/2006/relationships/image" Target="../media/image5.jpg"/><Relationship Id="rId2" Type="http://schemas.openxmlformats.org/officeDocument/2006/relationships/image" Target="../media/image2.png"/><Relationship Id="rId1" Type="http://schemas.openxmlformats.org/officeDocument/2006/relationships/hyperlink" Target="https://www.youtube.com/watch?v=8qRztomH8uY" TargetMode="External"/><Relationship Id="rId6" Type="http://schemas.openxmlformats.org/officeDocument/2006/relationships/hyperlink" Target="#'Balance sheet Flow chart'!A1"/><Relationship Id="rId5" Type="http://schemas.openxmlformats.org/officeDocument/2006/relationships/hyperlink" Target="#'balance sheet CFA'!A1"/><Relationship Id="rId4" Type="http://schemas.openxmlformats.org/officeDocument/2006/relationships/image" Target="../media/image8.png"/></Relationships>
</file>

<file path=xl/drawings/_rels/drawing7.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hyperlink" Target="#'Balance Sheet'!A1"/><Relationship Id="rId1" Type="http://schemas.openxmlformats.org/officeDocument/2006/relationships/hyperlink" Target="#'Financial Health'!A1"/></Relationships>
</file>

<file path=xl/drawings/_rels/drawing8.xml.rels><?xml version="1.0" encoding="UTF-8" standalone="yes"?>
<Relationships xmlns="http://schemas.openxmlformats.org/package/2006/relationships"><Relationship Id="rId3" Type="http://schemas.openxmlformats.org/officeDocument/2006/relationships/hyperlink" Target="https://www.investordiary.in/articles/understanding-balance-sheet/" TargetMode="External"/><Relationship Id="rId7" Type="http://schemas.openxmlformats.org/officeDocument/2006/relationships/image" Target="../media/image5.jpg"/><Relationship Id="rId2" Type="http://schemas.openxmlformats.org/officeDocument/2006/relationships/image" Target="../media/image2.png"/><Relationship Id="rId1" Type="http://schemas.openxmlformats.org/officeDocument/2006/relationships/hyperlink" Target="https://www.youtube.com/watch?v=8qRztomH8uY" TargetMode="External"/><Relationship Id="rId6" Type="http://schemas.openxmlformats.org/officeDocument/2006/relationships/hyperlink" Target="#'balance sheet CFA'!A1"/><Relationship Id="rId5" Type="http://schemas.openxmlformats.org/officeDocument/2006/relationships/hyperlink" Target="#'Income statement'!A1"/><Relationship Id="rId4" Type="http://schemas.openxmlformats.org/officeDocument/2006/relationships/image" Target="../media/image8.png"/></Relationships>
</file>

<file path=xl/drawings/_rels/drawing9.xml.rels><?xml version="1.0" encoding="UTF-8" standalone="yes"?>
<Relationships xmlns="http://schemas.openxmlformats.org/package/2006/relationships"><Relationship Id="rId3" Type="http://schemas.openxmlformats.org/officeDocument/2006/relationships/hyperlink" Target="https://www.investordiary.in/articles/understanding-income-statement/" TargetMode="External"/><Relationship Id="rId7" Type="http://schemas.openxmlformats.org/officeDocument/2006/relationships/image" Target="../media/image11.jpeg"/><Relationship Id="rId2" Type="http://schemas.openxmlformats.org/officeDocument/2006/relationships/image" Target="../media/image2.png"/><Relationship Id="rId1" Type="http://schemas.openxmlformats.org/officeDocument/2006/relationships/hyperlink" Target="https://www.youtube.com/watch?v=d3anvaNEKFQ" TargetMode="External"/><Relationship Id="rId6" Type="http://schemas.openxmlformats.org/officeDocument/2006/relationships/hyperlink" Target="#'Financial Health'!A1"/><Relationship Id="rId5" Type="http://schemas.openxmlformats.org/officeDocument/2006/relationships/hyperlink" Target="#'Income statement CFA'!A1"/><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3</xdr:col>
      <xdr:colOff>38508</xdr:colOff>
      <xdr:row>10</xdr:row>
      <xdr:rowOff>200025</xdr:rowOff>
    </xdr:from>
    <xdr:to>
      <xdr:col>4</xdr:col>
      <xdr:colOff>619125</xdr:colOff>
      <xdr:row>13</xdr:row>
      <xdr:rowOff>85725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72983" y="3819525"/>
          <a:ext cx="1123542" cy="781050"/>
        </a:xfrm>
        <a:prstGeom prst="rect">
          <a:avLst/>
        </a:prstGeom>
      </xdr:spPr>
    </xdr:pic>
    <xdr:clientData/>
  </xdr:twoCellAnchor>
  <xdr:twoCellAnchor>
    <xdr:from>
      <xdr:col>7</xdr:col>
      <xdr:colOff>19050</xdr:colOff>
      <xdr:row>11</xdr:row>
      <xdr:rowOff>133349</xdr:rowOff>
    </xdr:from>
    <xdr:to>
      <xdr:col>7</xdr:col>
      <xdr:colOff>390525</xdr:colOff>
      <xdr:row>12</xdr:row>
      <xdr:rowOff>257174</xdr:rowOff>
    </xdr:to>
    <xdr:sp macro="" textlink="">
      <xdr:nvSpPr>
        <xdr:cNvPr id="8" name="Right Arrow 7" descr="38252435-ce88-4ebb-aeef-644faccf860d">
          <a:hlinkClick xmlns:r="http://schemas.openxmlformats.org/officeDocument/2006/relationships" r:id="rId3"/>
        </xdr:cNvPr>
        <xdr:cNvSpPr/>
      </xdr:nvSpPr>
      <xdr:spPr>
        <a:xfrm>
          <a:off x="11591925" y="4038599"/>
          <a:ext cx="371475" cy="3333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19051</xdr:colOff>
      <xdr:row>0</xdr:row>
      <xdr:rowOff>0</xdr:rowOff>
    </xdr:from>
    <xdr:to>
      <xdr:col>6</xdr:col>
      <xdr:colOff>400051</xdr:colOff>
      <xdr:row>9</xdr:row>
      <xdr:rowOff>19050</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934326" y="0"/>
          <a:ext cx="3429000" cy="3429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148166</xdr:colOff>
      <xdr:row>0</xdr:row>
      <xdr:rowOff>0</xdr:rowOff>
    </xdr:from>
    <xdr:to>
      <xdr:col>16</xdr:col>
      <xdr:colOff>262730</xdr:colOff>
      <xdr:row>3</xdr:row>
      <xdr:rowOff>121619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9555" y="0"/>
          <a:ext cx="693119" cy="6931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47625</xdr:colOff>
      <xdr:row>4</xdr:row>
      <xdr:rowOff>9525</xdr:rowOff>
    </xdr:from>
    <xdr:to>
      <xdr:col>14</xdr:col>
      <xdr:colOff>66675</xdr:colOff>
      <xdr:row>6</xdr:row>
      <xdr:rowOff>171451</xdr:rowOff>
    </xdr:to>
    <xdr:cxnSp macro="">
      <xdr:nvCxnSpPr>
        <xdr:cNvPr id="3" name="Straight Arrow Connector 2" descr="897d536f-72c3-4b0c-8566-440657ceba16"/>
        <xdr:cNvCxnSpPr/>
      </xdr:nvCxnSpPr>
      <xdr:spPr>
        <a:xfrm flipH="1" flipV="1">
          <a:off x="8591550" y="781050"/>
          <a:ext cx="1428750" cy="552451"/>
        </a:xfrm>
        <a:prstGeom prst="straightConnector1">
          <a:avLst/>
        </a:prstGeom>
        <a:ln w="38100">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28577</xdr:colOff>
      <xdr:row>7</xdr:row>
      <xdr:rowOff>85727</xdr:rowOff>
    </xdr:from>
    <xdr:to>
      <xdr:col>11</xdr:col>
      <xdr:colOff>390525</xdr:colOff>
      <xdr:row>7</xdr:row>
      <xdr:rowOff>95250</xdr:rowOff>
    </xdr:to>
    <xdr:cxnSp macro="">
      <xdr:nvCxnSpPr>
        <xdr:cNvPr id="7" name="Straight Arrow Connector 6" descr="8bf106eb-a42b-4999-bf1b-6452c2cdf9e1"/>
        <xdr:cNvCxnSpPr/>
      </xdr:nvCxnSpPr>
      <xdr:spPr>
        <a:xfrm flipH="1" flipV="1">
          <a:off x="8172452" y="1447802"/>
          <a:ext cx="361948" cy="9523"/>
        </a:xfrm>
        <a:prstGeom prst="straightConnector1">
          <a:avLst/>
        </a:prstGeom>
        <a:ln w="38100">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28525</xdr:colOff>
      <xdr:row>11</xdr:row>
      <xdr:rowOff>57150</xdr:rowOff>
    </xdr:from>
    <xdr:to>
      <xdr:col>14</xdr:col>
      <xdr:colOff>400050</xdr:colOff>
      <xdr:row>17</xdr:row>
      <xdr:rowOff>123825</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450" y="2219325"/>
          <a:ext cx="1781225" cy="1238250"/>
        </a:xfrm>
        <a:prstGeom prst="rect">
          <a:avLst/>
        </a:prstGeom>
      </xdr:spPr>
    </xdr:pic>
    <xdr:clientData/>
  </xdr:twoCellAnchor>
  <xdr:twoCellAnchor editAs="oneCell">
    <xdr:from>
      <xdr:col>15</xdr:col>
      <xdr:colOff>35472</xdr:colOff>
      <xdr:row>10</xdr:row>
      <xdr:rowOff>133350</xdr:rowOff>
    </xdr:from>
    <xdr:to>
      <xdr:col>17</xdr:col>
      <xdr:colOff>321222</xdr:colOff>
      <xdr:row>18</xdr:row>
      <xdr:rowOff>85725</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598697" y="2095500"/>
          <a:ext cx="1504950" cy="1504950"/>
        </a:xfrm>
        <a:prstGeom prst="rect">
          <a:avLst/>
        </a:prstGeom>
      </xdr:spPr>
    </xdr:pic>
    <xdr:clientData/>
  </xdr:twoCellAnchor>
  <xdr:twoCellAnchor>
    <xdr:from>
      <xdr:col>10</xdr:col>
      <xdr:colOff>19050</xdr:colOff>
      <xdr:row>21</xdr:row>
      <xdr:rowOff>133349</xdr:rowOff>
    </xdr:from>
    <xdr:to>
      <xdr:col>10</xdr:col>
      <xdr:colOff>390525</xdr:colOff>
      <xdr:row>22</xdr:row>
      <xdr:rowOff>257174</xdr:rowOff>
    </xdr:to>
    <xdr:sp macro="" textlink="">
      <xdr:nvSpPr>
        <xdr:cNvPr id="8" name="Right Arrow 7" descr="d770e107-6efc-4f98-a8b5-f5f442e7b295">
          <a:hlinkClick xmlns:r="http://schemas.openxmlformats.org/officeDocument/2006/relationships" r:id="rId5"/>
        </xdr:cNvPr>
        <xdr:cNvSpPr/>
      </xdr:nvSpPr>
      <xdr:spPr>
        <a:xfrm>
          <a:off x="11591925" y="4038599"/>
          <a:ext cx="371475" cy="3333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180975</xdr:colOff>
      <xdr:row>21</xdr:row>
      <xdr:rowOff>133349</xdr:rowOff>
    </xdr:from>
    <xdr:to>
      <xdr:col>9</xdr:col>
      <xdr:colOff>552450</xdr:colOff>
      <xdr:row>22</xdr:row>
      <xdr:rowOff>257174</xdr:rowOff>
    </xdr:to>
    <xdr:sp macro="" textlink="">
      <xdr:nvSpPr>
        <xdr:cNvPr id="9" name="Right Arrow 8" descr="66b6088d-9867-4a07-9b70-564376ec3288">
          <a:hlinkClick xmlns:r="http://schemas.openxmlformats.org/officeDocument/2006/relationships" r:id="rId6"/>
        </xdr:cNvPr>
        <xdr:cNvSpPr/>
      </xdr:nvSpPr>
      <xdr:spPr>
        <a:xfrm rot="10800000">
          <a:off x="11144250" y="4038599"/>
          <a:ext cx="371475" cy="3333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16</xdr:col>
      <xdr:colOff>400050</xdr:colOff>
      <xdr:row>0</xdr:row>
      <xdr:rowOff>0</xdr:rowOff>
    </xdr:from>
    <xdr:to>
      <xdr:col>18</xdr:col>
      <xdr:colOff>269081</xdr:colOff>
      <xdr:row>5</xdr:row>
      <xdr:rowOff>116681</xdr:rowOff>
    </xdr:to>
    <xdr:pic>
      <xdr:nvPicPr>
        <xdr:cNvPr id="10" name="Picture 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572875" y="0"/>
          <a:ext cx="1088231" cy="108823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19049</xdr:colOff>
      <xdr:row>0</xdr:row>
      <xdr:rowOff>23812</xdr:rowOff>
    </xdr:from>
    <xdr:to>
      <xdr:col>17</xdr:col>
      <xdr:colOff>85724</xdr:colOff>
      <xdr:row>14</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xdr:colOff>
      <xdr:row>15</xdr:row>
      <xdr:rowOff>9524</xdr:rowOff>
    </xdr:from>
    <xdr:to>
      <xdr:col>17</xdr:col>
      <xdr:colOff>85725</xdr:colOff>
      <xdr:row>26</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1813877</xdr:colOff>
      <xdr:row>25</xdr:row>
      <xdr:rowOff>47625</xdr:rowOff>
    </xdr:from>
    <xdr:to>
      <xdr:col>1</xdr:col>
      <xdr:colOff>62656</xdr:colOff>
      <xdr:row>26</xdr:row>
      <xdr:rowOff>123588</xdr:rowOff>
    </xdr:to>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13877" y="4486275"/>
          <a:ext cx="377714" cy="262575"/>
        </a:xfrm>
        <a:prstGeom prst="rect">
          <a:avLst/>
        </a:prstGeom>
      </xdr:spPr>
    </xdr:pic>
    <xdr:clientData/>
  </xdr:twoCellAnchor>
  <xdr:twoCellAnchor editAs="oneCell">
    <xdr:from>
      <xdr:col>1</xdr:col>
      <xdr:colOff>152400</xdr:colOff>
      <xdr:row>25</xdr:row>
      <xdr:rowOff>28575</xdr:rowOff>
    </xdr:from>
    <xdr:to>
      <xdr:col>1</xdr:col>
      <xdr:colOff>459580</xdr:colOff>
      <xdr:row>26</xdr:row>
      <xdr:rowOff>149143</xdr:rowOff>
    </xdr:to>
    <xdr:pic>
      <xdr:nvPicPr>
        <xdr:cNvPr id="6" name="Picture 5">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286000" y="4467225"/>
          <a:ext cx="307180" cy="307180"/>
        </a:xfrm>
        <a:prstGeom prst="rect">
          <a:avLst/>
        </a:prstGeom>
      </xdr:spPr>
    </xdr:pic>
    <xdr:clientData/>
  </xdr:twoCellAnchor>
  <xdr:twoCellAnchor editAs="oneCell">
    <xdr:from>
      <xdr:col>16</xdr:col>
      <xdr:colOff>428625</xdr:colOff>
      <xdr:row>0</xdr:row>
      <xdr:rowOff>85725</xdr:rowOff>
    </xdr:from>
    <xdr:to>
      <xdr:col>17</xdr:col>
      <xdr:colOff>40481</xdr:colOff>
      <xdr:row>3</xdr:row>
      <xdr:rowOff>40481</xdr:rowOff>
    </xdr:to>
    <xdr:pic>
      <xdr:nvPicPr>
        <xdr:cNvPr id="7" name="Picture 6"/>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2020550" y="85725"/>
          <a:ext cx="488156" cy="48815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401758</xdr:colOff>
      <xdr:row>1</xdr:row>
      <xdr:rowOff>28575</xdr:rowOff>
    </xdr:from>
    <xdr:to>
      <xdr:col>14</xdr:col>
      <xdr:colOff>258016</xdr:colOff>
      <xdr:row>2</xdr:row>
      <xdr:rowOff>38100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22008" y="342900"/>
          <a:ext cx="465858" cy="323850"/>
        </a:xfrm>
        <a:prstGeom prst="rect">
          <a:avLst/>
        </a:prstGeom>
      </xdr:spPr>
    </xdr:pic>
    <xdr:clientData/>
  </xdr:twoCellAnchor>
  <xdr:twoCellAnchor editAs="oneCell">
    <xdr:from>
      <xdr:col>12</xdr:col>
      <xdr:colOff>9525</xdr:colOff>
      <xdr:row>20</xdr:row>
      <xdr:rowOff>123824</xdr:rowOff>
    </xdr:from>
    <xdr:to>
      <xdr:col>16</xdr:col>
      <xdr:colOff>28575</xdr:colOff>
      <xdr:row>29</xdr:row>
      <xdr:rowOff>117667</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20175" y="4362449"/>
          <a:ext cx="2457450" cy="1708343"/>
        </a:xfrm>
        <a:prstGeom prst="rect">
          <a:avLst/>
        </a:prstGeom>
      </xdr:spPr>
    </xdr:pic>
    <xdr:clientData/>
  </xdr:twoCellAnchor>
  <xdr:twoCellAnchor>
    <xdr:from>
      <xdr:col>16</xdr:col>
      <xdr:colOff>447675</xdr:colOff>
      <xdr:row>2</xdr:row>
      <xdr:rowOff>0</xdr:rowOff>
    </xdr:from>
    <xdr:to>
      <xdr:col>17</xdr:col>
      <xdr:colOff>209550</xdr:colOff>
      <xdr:row>3</xdr:row>
      <xdr:rowOff>76200</xdr:rowOff>
    </xdr:to>
    <xdr:sp macro="" textlink="">
      <xdr:nvSpPr>
        <xdr:cNvPr id="7" name="Right Arrow 6" descr="3c92e968-005f-448e-ab2e-e5bef39c5f5b">
          <a:hlinkClick xmlns:r="http://schemas.openxmlformats.org/officeDocument/2006/relationships" r:id="rId3"/>
        </xdr:cNvPr>
        <xdr:cNvSpPr/>
      </xdr:nvSpPr>
      <xdr:spPr>
        <a:xfrm>
          <a:off x="11896725" y="628650"/>
          <a:ext cx="371475" cy="24765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0</xdr:colOff>
      <xdr:row>2</xdr:row>
      <xdr:rowOff>0</xdr:rowOff>
    </xdr:from>
    <xdr:to>
      <xdr:col>16</xdr:col>
      <xdr:colOff>371475</xdr:colOff>
      <xdr:row>3</xdr:row>
      <xdr:rowOff>76200</xdr:rowOff>
    </xdr:to>
    <xdr:sp macro="" textlink="">
      <xdr:nvSpPr>
        <xdr:cNvPr id="8" name="Right Arrow 7" descr="d7251036-52ba-4bfd-9582-c04db8c3b62e">
          <a:hlinkClick xmlns:r="http://schemas.openxmlformats.org/officeDocument/2006/relationships" r:id="rId4"/>
        </xdr:cNvPr>
        <xdr:cNvSpPr/>
      </xdr:nvSpPr>
      <xdr:spPr>
        <a:xfrm rot="10800000">
          <a:off x="11449050" y="628650"/>
          <a:ext cx="371475" cy="24765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123825</xdr:colOff>
      <xdr:row>57</xdr:row>
      <xdr:rowOff>47625</xdr:rowOff>
    </xdr:from>
    <xdr:to>
      <xdr:col>5</xdr:col>
      <xdr:colOff>542925</xdr:colOff>
      <xdr:row>58</xdr:row>
      <xdr:rowOff>209550</xdr:rowOff>
    </xdr:to>
    <xdr:sp macro="" textlink="">
      <xdr:nvSpPr>
        <xdr:cNvPr id="3" name="Right Arrow 2"/>
        <xdr:cNvSpPr/>
      </xdr:nvSpPr>
      <xdr:spPr>
        <a:xfrm>
          <a:off x="4143375" y="11763375"/>
          <a:ext cx="1028700" cy="438150"/>
        </a:xfrm>
        <a:prstGeom prst="rightArrow">
          <a:avLst/>
        </a:prstGeom>
        <a:solidFill>
          <a:srgbClr val="00206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323850</xdr:colOff>
      <xdr:row>59</xdr:row>
      <xdr:rowOff>104775</xdr:rowOff>
    </xdr:from>
    <xdr:to>
      <xdr:col>0</xdr:col>
      <xdr:colOff>495300</xdr:colOff>
      <xdr:row>71</xdr:row>
      <xdr:rowOff>38100</xdr:rowOff>
    </xdr:to>
    <xdr:sp macro="" textlink="">
      <xdr:nvSpPr>
        <xdr:cNvPr id="5" name="Rectangle 4"/>
        <xdr:cNvSpPr/>
      </xdr:nvSpPr>
      <xdr:spPr>
        <a:xfrm>
          <a:off x="323850" y="12372975"/>
          <a:ext cx="171450" cy="2533650"/>
        </a:xfrm>
        <a:prstGeom prst="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323849</xdr:colOff>
      <xdr:row>69</xdr:row>
      <xdr:rowOff>104775</xdr:rowOff>
    </xdr:from>
    <xdr:to>
      <xdr:col>0</xdr:col>
      <xdr:colOff>2105025</xdr:colOff>
      <xdr:row>71</xdr:row>
      <xdr:rowOff>152400</xdr:rowOff>
    </xdr:to>
    <xdr:sp macro="" textlink="">
      <xdr:nvSpPr>
        <xdr:cNvPr id="20" name="Right Arrow 19"/>
        <xdr:cNvSpPr/>
      </xdr:nvSpPr>
      <xdr:spPr>
        <a:xfrm>
          <a:off x="323849" y="14582775"/>
          <a:ext cx="1781176" cy="438150"/>
        </a:xfrm>
        <a:prstGeom prst="right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323849</xdr:colOff>
      <xdr:row>93</xdr:row>
      <xdr:rowOff>104775</xdr:rowOff>
    </xdr:from>
    <xdr:to>
      <xdr:col>0</xdr:col>
      <xdr:colOff>2105025</xdr:colOff>
      <xdr:row>95</xdr:row>
      <xdr:rowOff>152400</xdr:rowOff>
    </xdr:to>
    <xdr:sp macro="" textlink="">
      <xdr:nvSpPr>
        <xdr:cNvPr id="9" name="Right Arrow 8"/>
        <xdr:cNvSpPr/>
      </xdr:nvSpPr>
      <xdr:spPr>
        <a:xfrm>
          <a:off x="323849" y="14582775"/>
          <a:ext cx="1781176" cy="438150"/>
        </a:xfrm>
        <a:prstGeom prst="right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323850</xdr:colOff>
      <xdr:row>71</xdr:row>
      <xdr:rowOff>57149</xdr:rowOff>
    </xdr:from>
    <xdr:to>
      <xdr:col>0</xdr:col>
      <xdr:colOff>495300</xdr:colOff>
      <xdr:row>119</xdr:row>
      <xdr:rowOff>114300</xdr:rowOff>
    </xdr:to>
    <xdr:sp macro="" textlink="">
      <xdr:nvSpPr>
        <xdr:cNvPr id="10" name="Rectangle 9"/>
        <xdr:cNvSpPr/>
      </xdr:nvSpPr>
      <xdr:spPr>
        <a:xfrm>
          <a:off x="323850" y="14925674"/>
          <a:ext cx="171450" cy="10410826"/>
        </a:xfrm>
        <a:prstGeom prst="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323848</xdr:colOff>
      <xdr:row>117</xdr:row>
      <xdr:rowOff>180975</xdr:rowOff>
    </xdr:from>
    <xdr:to>
      <xdr:col>1</xdr:col>
      <xdr:colOff>552449</xdr:colOff>
      <xdr:row>120</xdr:row>
      <xdr:rowOff>28575</xdr:rowOff>
    </xdr:to>
    <xdr:sp macro="" textlink="">
      <xdr:nvSpPr>
        <xdr:cNvPr id="11" name="Right Arrow 10"/>
        <xdr:cNvSpPr/>
      </xdr:nvSpPr>
      <xdr:spPr>
        <a:xfrm>
          <a:off x="323848" y="25003125"/>
          <a:ext cx="2419351" cy="447675"/>
        </a:xfrm>
        <a:prstGeom prst="right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381000</xdr:colOff>
      <xdr:row>87</xdr:row>
      <xdr:rowOff>133350</xdr:rowOff>
    </xdr:from>
    <xdr:to>
      <xdr:col>7</xdr:col>
      <xdr:colOff>514350</xdr:colOff>
      <xdr:row>88</xdr:row>
      <xdr:rowOff>66675</xdr:rowOff>
    </xdr:to>
    <xdr:sp macro="" textlink="">
      <xdr:nvSpPr>
        <xdr:cNvPr id="13" name="5-Point Star 12" descr="3411b894-d1f8-4da1-b838-9f5f1c866026"/>
        <xdr:cNvSpPr/>
      </xdr:nvSpPr>
      <xdr:spPr>
        <a:xfrm>
          <a:off x="6257925" y="18640425"/>
          <a:ext cx="133350" cy="123825"/>
        </a:xfrm>
        <a:prstGeom prst="star5">
          <a:avLst>
            <a:gd name="adj" fmla="val 19098"/>
            <a:gd name="hf" fmla="val 105146"/>
            <a:gd name="vf" fmla="val 110557"/>
          </a:avLst>
        </a:prstGeom>
        <a:solidFill>
          <a:srgbClr val="00206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361950</xdr:colOff>
      <xdr:row>111</xdr:row>
      <xdr:rowOff>142875</xdr:rowOff>
    </xdr:from>
    <xdr:to>
      <xdr:col>7</xdr:col>
      <xdr:colOff>495300</xdr:colOff>
      <xdr:row>112</xdr:row>
      <xdr:rowOff>76200</xdr:rowOff>
    </xdr:to>
    <xdr:sp macro="" textlink="">
      <xdr:nvSpPr>
        <xdr:cNvPr id="14" name="5-Point Star 13" descr="3411b894-d1f8-4da1-b838-9f5f1c866026"/>
        <xdr:cNvSpPr/>
      </xdr:nvSpPr>
      <xdr:spPr>
        <a:xfrm>
          <a:off x="6238875" y="23822025"/>
          <a:ext cx="133350" cy="123825"/>
        </a:xfrm>
        <a:prstGeom prst="star5">
          <a:avLst>
            <a:gd name="adj" fmla="val 19098"/>
            <a:gd name="hf" fmla="val 105146"/>
            <a:gd name="vf" fmla="val 110557"/>
          </a:avLst>
        </a:prstGeom>
        <a:solidFill>
          <a:srgbClr val="00206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628650</xdr:colOff>
      <xdr:row>63</xdr:row>
      <xdr:rowOff>133350</xdr:rowOff>
    </xdr:from>
    <xdr:to>
      <xdr:col>8</xdr:col>
      <xdr:colOff>95250</xdr:colOff>
      <xdr:row>64</xdr:row>
      <xdr:rowOff>66675</xdr:rowOff>
    </xdr:to>
    <xdr:sp macro="" textlink="">
      <xdr:nvSpPr>
        <xdr:cNvPr id="15" name="5-Point Star 14" descr="3411b894-d1f8-4da1-b838-9f5f1c866026"/>
        <xdr:cNvSpPr/>
      </xdr:nvSpPr>
      <xdr:spPr>
        <a:xfrm>
          <a:off x="6505575" y="13458825"/>
          <a:ext cx="133350" cy="123825"/>
        </a:xfrm>
        <a:prstGeom prst="star5">
          <a:avLst>
            <a:gd name="adj" fmla="val 19098"/>
            <a:gd name="hf" fmla="val 105146"/>
            <a:gd name="vf" fmla="val 110557"/>
          </a:avLst>
        </a:prstGeom>
        <a:solidFill>
          <a:srgbClr val="00206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342900</xdr:colOff>
      <xdr:row>125</xdr:row>
      <xdr:rowOff>38100</xdr:rowOff>
    </xdr:from>
    <xdr:to>
      <xdr:col>7</xdr:col>
      <xdr:colOff>504825</xdr:colOff>
      <xdr:row>125</xdr:row>
      <xdr:rowOff>152400</xdr:rowOff>
    </xdr:to>
    <xdr:sp macro="" textlink="">
      <xdr:nvSpPr>
        <xdr:cNvPr id="17" name="Right Arrow 16" descr="f10a6950-ae5f-404d-b308-213d9f89b18b"/>
        <xdr:cNvSpPr/>
      </xdr:nvSpPr>
      <xdr:spPr>
        <a:xfrm>
          <a:off x="6219825" y="26412825"/>
          <a:ext cx="161925" cy="114300"/>
        </a:xfrm>
        <a:prstGeom prst="rightArrow">
          <a:avLst>
            <a:gd name="adj1" fmla="val 50000"/>
            <a:gd name="adj2" fmla="val 55556"/>
          </a:avLst>
        </a:prstGeom>
        <a:solidFill>
          <a:srgbClr val="00206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4">
                <a:lumMod val="50000"/>
              </a:schemeClr>
            </a:solidFill>
          </a:endParaRPr>
        </a:p>
      </xdr:txBody>
    </xdr:sp>
    <xdr:clientData/>
  </xdr:twoCellAnchor>
  <xdr:twoCellAnchor>
    <xdr:from>
      <xdr:col>3</xdr:col>
      <xdr:colOff>133350</xdr:colOff>
      <xdr:row>125</xdr:row>
      <xdr:rowOff>66675</xdr:rowOff>
    </xdr:from>
    <xdr:to>
      <xdr:col>3</xdr:col>
      <xdr:colOff>295275</xdr:colOff>
      <xdr:row>125</xdr:row>
      <xdr:rowOff>180975</xdr:rowOff>
    </xdr:to>
    <xdr:sp macro="" textlink="">
      <xdr:nvSpPr>
        <xdr:cNvPr id="18" name="Right Arrow 17" descr="f10a6950-ae5f-404d-b308-213d9f89b18b"/>
        <xdr:cNvSpPr/>
      </xdr:nvSpPr>
      <xdr:spPr>
        <a:xfrm>
          <a:off x="3543300" y="26441400"/>
          <a:ext cx="161925" cy="114300"/>
        </a:xfrm>
        <a:prstGeom prst="rightArrow">
          <a:avLst>
            <a:gd name="adj1" fmla="val 50000"/>
            <a:gd name="adj2" fmla="val 55556"/>
          </a:avLst>
        </a:prstGeom>
        <a:solidFill>
          <a:srgbClr val="00206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4">
                <a:lumMod val="50000"/>
              </a:schemeClr>
            </a:solidFill>
          </a:endParaRPr>
        </a:p>
      </xdr:txBody>
    </xdr:sp>
    <xdr:clientData/>
  </xdr:twoCellAnchor>
  <xdr:twoCellAnchor>
    <xdr:from>
      <xdr:col>3</xdr:col>
      <xdr:colOff>161925</xdr:colOff>
      <xdr:row>117</xdr:row>
      <xdr:rowOff>47625</xdr:rowOff>
    </xdr:from>
    <xdr:to>
      <xdr:col>3</xdr:col>
      <xdr:colOff>323850</xdr:colOff>
      <xdr:row>117</xdr:row>
      <xdr:rowOff>161925</xdr:rowOff>
    </xdr:to>
    <xdr:sp macro="" textlink="">
      <xdr:nvSpPr>
        <xdr:cNvPr id="19" name="Right Arrow 18" descr="f10a6950-ae5f-404d-b308-213d9f89b18b"/>
        <xdr:cNvSpPr/>
      </xdr:nvSpPr>
      <xdr:spPr>
        <a:xfrm>
          <a:off x="3571875" y="24869775"/>
          <a:ext cx="161925" cy="114300"/>
        </a:xfrm>
        <a:prstGeom prst="rightArrow">
          <a:avLst>
            <a:gd name="adj1" fmla="val 50000"/>
            <a:gd name="adj2" fmla="val 55556"/>
          </a:avLst>
        </a:prstGeom>
        <a:solidFill>
          <a:srgbClr val="00206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4">
                <a:lumMod val="50000"/>
              </a:schemeClr>
            </a:solidFill>
          </a:endParaRPr>
        </a:p>
      </xdr:txBody>
    </xdr:sp>
    <xdr:clientData/>
  </xdr:twoCellAnchor>
  <xdr:twoCellAnchor>
    <xdr:from>
      <xdr:col>7</xdr:col>
      <xdr:colOff>276225</xdr:colOff>
      <xdr:row>117</xdr:row>
      <xdr:rowOff>47625</xdr:rowOff>
    </xdr:from>
    <xdr:to>
      <xdr:col>7</xdr:col>
      <xdr:colOff>438150</xdr:colOff>
      <xdr:row>117</xdr:row>
      <xdr:rowOff>161925</xdr:rowOff>
    </xdr:to>
    <xdr:sp macro="" textlink="">
      <xdr:nvSpPr>
        <xdr:cNvPr id="21" name="Right Arrow 20" descr="f10a6950-ae5f-404d-b308-213d9f89b18b"/>
        <xdr:cNvSpPr/>
      </xdr:nvSpPr>
      <xdr:spPr>
        <a:xfrm>
          <a:off x="6153150" y="24869775"/>
          <a:ext cx="161925" cy="114300"/>
        </a:xfrm>
        <a:prstGeom prst="rightArrow">
          <a:avLst>
            <a:gd name="adj1" fmla="val 50000"/>
            <a:gd name="adj2" fmla="val 55556"/>
          </a:avLst>
        </a:prstGeom>
        <a:solidFill>
          <a:srgbClr val="00206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4">
                <a:lumMod val="50000"/>
              </a:schemeClr>
            </a:solidFill>
          </a:endParaRPr>
        </a:p>
      </xdr:txBody>
    </xdr:sp>
    <xdr:clientData/>
  </xdr:twoCellAnchor>
  <xdr:twoCellAnchor editAs="oneCell">
    <xdr:from>
      <xdr:col>17</xdr:col>
      <xdr:colOff>28575</xdr:colOff>
      <xdr:row>0</xdr:row>
      <xdr:rowOff>0</xdr:rowOff>
    </xdr:from>
    <xdr:to>
      <xdr:col>17</xdr:col>
      <xdr:colOff>526256</xdr:colOff>
      <xdr:row>1</xdr:row>
      <xdr:rowOff>183356</xdr:rowOff>
    </xdr:to>
    <xdr:pic>
      <xdr:nvPicPr>
        <xdr:cNvPr id="22" name="Picture 2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087225" y="0"/>
          <a:ext cx="497681" cy="49768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154542</xdr:colOff>
      <xdr:row>8</xdr:row>
      <xdr:rowOff>9525</xdr:rowOff>
    </xdr:from>
    <xdr:to>
      <xdr:col>15</xdr:col>
      <xdr:colOff>381000</xdr:colOff>
      <xdr:row>15</xdr:row>
      <xdr:rowOff>76200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27017" y="1571625"/>
          <a:ext cx="2055258" cy="1428750"/>
        </a:xfrm>
        <a:prstGeom prst="rect">
          <a:avLst/>
        </a:prstGeom>
      </xdr:spPr>
    </xdr:pic>
    <xdr:clientData/>
  </xdr:twoCellAnchor>
  <xdr:twoCellAnchor editAs="oneCell">
    <xdr:from>
      <xdr:col>12</xdr:col>
      <xdr:colOff>257175</xdr:colOff>
      <xdr:row>15</xdr:row>
      <xdr:rowOff>66675</xdr:rowOff>
    </xdr:from>
    <xdr:to>
      <xdr:col>15</xdr:col>
      <xdr:colOff>342899</xdr:colOff>
      <xdr:row>25</xdr:row>
      <xdr:rowOff>47624</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629650" y="2990850"/>
          <a:ext cx="1914524" cy="1914524"/>
        </a:xfrm>
        <a:prstGeom prst="rect">
          <a:avLst/>
        </a:prstGeom>
      </xdr:spPr>
    </xdr:pic>
    <xdr:clientData/>
  </xdr:twoCellAnchor>
  <xdr:twoCellAnchor>
    <xdr:from>
      <xdr:col>17</xdr:col>
      <xdr:colOff>19050</xdr:colOff>
      <xdr:row>17</xdr:row>
      <xdr:rowOff>133349</xdr:rowOff>
    </xdr:from>
    <xdr:to>
      <xdr:col>17</xdr:col>
      <xdr:colOff>390525</xdr:colOff>
      <xdr:row>18</xdr:row>
      <xdr:rowOff>257174</xdr:rowOff>
    </xdr:to>
    <xdr:sp macro="" textlink="">
      <xdr:nvSpPr>
        <xdr:cNvPr id="6" name="Right Arrow 5" descr="21ed784b-e182-48cd-81df-e5cf6cdfe6a0">
          <a:hlinkClick xmlns:r="http://schemas.openxmlformats.org/officeDocument/2006/relationships" r:id="rId5"/>
        </xdr:cNvPr>
        <xdr:cNvSpPr/>
      </xdr:nvSpPr>
      <xdr:spPr>
        <a:xfrm>
          <a:off x="11591925" y="4038599"/>
          <a:ext cx="371475" cy="3333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180975</xdr:colOff>
      <xdr:row>17</xdr:row>
      <xdr:rowOff>133349</xdr:rowOff>
    </xdr:from>
    <xdr:to>
      <xdr:col>16</xdr:col>
      <xdr:colOff>552450</xdr:colOff>
      <xdr:row>18</xdr:row>
      <xdr:rowOff>257174</xdr:rowOff>
    </xdr:to>
    <xdr:sp macro="" textlink="">
      <xdr:nvSpPr>
        <xdr:cNvPr id="7" name="Right Arrow 6" descr="c23ec752-d1bd-4bda-84b5-702f0cec5098">
          <a:hlinkClick xmlns:r="http://schemas.openxmlformats.org/officeDocument/2006/relationships" r:id="rId6"/>
        </xdr:cNvPr>
        <xdr:cNvSpPr/>
      </xdr:nvSpPr>
      <xdr:spPr>
        <a:xfrm rot="10800000">
          <a:off x="11144250" y="4038599"/>
          <a:ext cx="371475" cy="3333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17</xdr:col>
      <xdr:colOff>171450</xdr:colOff>
      <xdr:row>0</xdr:row>
      <xdr:rowOff>0</xdr:rowOff>
    </xdr:from>
    <xdr:to>
      <xdr:col>19</xdr:col>
      <xdr:colOff>40481</xdr:colOff>
      <xdr:row>5</xdr:row>
      <xdr:rowOff>97631</xdr:rowOff>
    </xdr:to>
    <xdr:pic>
      <xdr:nvPicPr>
        <xdr:cNvPr id="8" name="Picture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591925" y="0"/>
          <a:ext cx="1088231" cy="108823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642936</xdr:colOff>
      <xdr:row>7</xdr:row>
      <xdr:rowOff>111125</xdr:rowOff>
    </xdr:from>
    <xdr:to>
      <xdr:col>7</xdr:col>
      <xdr:colOff>444499</xdr:colOff>
      <xdr:row>11</xdr:row>
      <xdr:rowOff>55563</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16811" y="1412875"/>
          <a:ext cx="658813" cy="658813"/>
        </a:xfrm>
        <a:prstGeom prst="rect">
          <a:avLst/>
        </a:prstGeom>
      </xdr:spPr>
    </xdr:pic>
    <xdr:clientData/>
  </xdr:twoCellAnchor>
  <xdr:twoCellAnchor>
    <xdr:from>
      <xdr:col>8</xdr:col>
      <xdr:colOff>365124</xdr:colOff>
      <xdr:row>51</xdr:row>
      <xdr:rowOff>0</xdr:rowOff>
    </xdr:from>
    <xdr:to>
      <xdr:col>8</xdr:col>
      <xdr:colOff>365124</xdr:colOff>
      <xdr:row>52</xdr:row>
      <xdr:rowOff>0</xdr:rowOff>
    </xdr:to>
    <xdr:cxnSp macro="">
      <xdr:nvCxnSpPr>
        <xdr:cNvPr id="8" name="Straight Arrow Connector 7"/>
        <xdr:cNvCxnSpPr/>
      </xdr:nvCxnSpPr>
      <xdr:spPr>
        <a:xfrm>
          <a:off x="8929687" y="8786813"/>
          <a:ext cx="0" cy="174625"/>
        </a:xfrm>
        <a:prstGeom prst="straightConnector1">
          <a:avLst/>
        </a:prstGeom>
        <a:ln w="285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396874</xdr:colOff>
      <xdr:row>51</xdr:row>
      <xdr:rowOff>0</xdr:rowOff>
    </xdr:from>
    <xdr:to>
      <xdr:col>9</xdr:col>
      <xdr:colOff>396874</xdr:colOff>
      <xdr:row>52</xdr:row>
      <xdr:rowOff>0</xdr:rowOff>
    </xdr:to>
    <xdr:cxnSp macro="">
      <xdr:nvCxnSpPr>
        <xdr:cNvPr id="9" name="Straight Arrow Connector 8"/>
        <xdr:cNvCxnSpPr/>
      </xdr:nvCxnSpPr>
      <xdr:spPr>
        <a:xfrm>
          <a:off x="9826624" y="8786813"/>
          <a:ext cx="0" cy="174625"/>
        </a:xfrm>
        <a:prstGeom prst="straightConnector1">
          <a:avLst/>
        </a:prstGeom>
        <a:ln w="285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365124</xdr:colOff>
      <xdr:row>53</xdr:row>
      <xdr:rowOff>7938</xdr:rowOff>
    </xdr:from>
    <xdr:to>
      <xdr:col>8</xdr:col>
      <xdr:colOff>365124</xdr:colOff>
      <xdr:row>54</xdr:row>
      <xdr:rowOff>7938</xdr:rowOff>
    </xdr:to>
    <xdr:cxnSp macro="">
      <xdr:nvCxnSpPr>
        <xdr:cNvPr id="16" name="Straight Arrow Connector 15"/>
        <xdr:cNvCxnSpPr/>
      </xdr:nvCxnSpPr>
      <xdr:spPr>
        <a:xfrm>
          <a:off x="8929687" y="9144001"/>
          <a:ext cx="0" cy="174625"/>
        </a:xfrm>
        <a:prstGeom prst="straightConnector1">
          <a:avLst/>
        </a:prstGeom>
        <a:ln w="285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396874</xdr:colOff>
      <xdr:row>53</xdr:row>
      <xdr:rowOff>7938</xdr:rowOff>
    </xdr:from>
    <xdr:to>
      <xdr:col>9</xdr:col>
      <xdr:colOff>396874</xdr:colOff>
      <xdr:row>54</xdr:row>
      <xdr:rowOff>7938</xdr:rowOff>
    </xdr:to>
    <xdr:cxnSp macro="">
      <xdr:nvCxnSpPr>
        <xdr:cNvPr id="17" name="Straight Arrow Connector 16"/>
        <xdr:cNvCxnSpPr/>
      </xdr:nvCxnSpPr>
      <xdr:spPr>
        <a:xfrm>
          <a:off x="9826624" y="9144001"/>
          <a:ext cx="0" cy="174625"/>
        </a:xfrm>
        <a:prstGeom prst="straightConnector1">
          <a:avLst/>
        </a:prstGeom>
        <a:ln w="285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365124</xdr:colOff>
      <xdr:row>51</xdr:row>
      <xdr:rowOff>0</xdr:rowOff>
    </xdr:from>
    <xdr:to>
      <xdr:col>19</xdr:col>
      <xdr:colOff>365124</xdr:colOff>
      <xdr:row>52</xdr:row>
      <xdr:rowOff>0</xdr:rowOff>
    </xdr:to>
    <xdr:cxnSp macro="">
      <xdr:nvCxnSpPr>
        <xdr:cNvPr id="18" name="Straight Arrow Connector 17"/>
        <xdr:cNvCxnSpPr/>
      </xdr:nvCxnSpPr>
      <xdr:spPr>
        <a:xfrm>
          <a:off x="8929687" y="8786813"/>
          <a:ext cx="0" cy="174625"/>
        </a:xfrm>
        <a:prstGeom prst="straightConnector1">
          <a:avLst/>
        </a:prstGeom>
        <a:ln w="285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396874</xdr:colOff>
      <xdr:row>51</xdr:row>
      <xdr:rowOff>0</xdr:rowOff>
    </xdr:from>
    <xdr:to>
      <xdr:col>20</xdr:col>
      <xdr:colOff>396874</xdr:colOff>
      <xdr:row>52</xdr:row>
      <xdr:rowOff>0</xdr:rowOff>
    </xdr:to>
    <xdr:cxnSp macro="">
      <xdr:nvCxnSpPr>
        <xdr:cNvPr id="19" name="Straight Arrow Connector 18"/>
        <xdr:cNvCxnSpPr/>
      </xdr:nvCxnSpPr>
      <xdr:spPr>
        <a:xfrm>
          <a:off x="9826624" y="8786813"/>
          <a:ext cx="0" cy="174625"/>
        </a:xfrm>
        <a:prstGeom prst="straightConnector1">
          <a:avLst/>
        </a:prstGeom>
        <a:ln w="285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365124</xdr:colOff>
      <xdr:row>53</xdr:row>
      <xdr:rowOff>7938</xdr:rowOff>
    </xdr:from>
    <xdr:to>
      <xdr:col>19</xdr:col>
      <xdr:colOff>365124</xdr:colOff>
      <xdr:row>54</xdr:row>
      <xdr:rowOff>7938</xdr:rowOff>
    </xdr:to>
    <xdr:cxnSp macro="">
      <xdr:nvCxnSpPr>
        <xdr:cNvPr id="20" name="Straight Arrow Connector 19"/>
        <xdr:cNvCxnSpPr/>
      </xdr:nvCxnSpPr>
      <xdr:spPr>
        <a:xfrm>
          <a:off x="8929687" y="9144001"/>
          <a:ext cx="0" cy="174625"/>
        </a:xfrm>
        <a:prstGeom prst="straightConnector1">
          <a:avLst/>
        </a:prstGeom>
        <a:ln w="285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396874</xdr:colOff>
      <xdr:row>53</xdr:row>
      <xdr:rowOff>7938</xdr:rowOff>
    </xdr:from>
    <xdr:to>
      <xdr:col>20</xdr:col>
      <xdr:colOff>396874</xdr:colOff>
      <xdr:row>54</xdr:row>
      <xdr:rowOff>7938</xdr:rowOff>
    </xdr:to>
    <xdr:cxnSp macro="">
      <xdr:nvCxnSpPr>
        <xdr:cNvPr id="21" name="Straight Arrow Connector 20"/>
        <xdr:cNvCxnSpPr/>
      </xdr:nvCxnSpPr>
      <xdr:spPr>
        <a:xfrm>
          <a:off x="9826624" y="9144001"/>
          <a:ext cx="0" cy="174625"/>
        </a:xfrm>
        <a:prstGeom prst="straightConnector1">
          <a:avLst/>
        </a:prstGeom>
        <a:ln w="285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453230</xdr:colOff>
      <xdr:row>2</xdr:row>
      <xdr:rowOff>7938</xdr:rowOff>
    </xdr:from>
    <xdr:to>
      <xdr:col>3</xdr:col>
      <xdr:colOff>635793</xdr:colOff>
      <xdr:row>6</xdr:row>
      <xdr:rowOff>71439</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40855" y="492126"/>
          <a:ext cx="738188" cy="73818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536864</xdr:colOff>
      <xdr:row>11</xdr:row>
      <xdr:rowOff>103909</xdr:rowOff>
    </xdr:from>
    <xdr:to>
      <xdr:col>15</xdr:col>
      <xdr:colOff>138546</xdr:colOff>
      <xdr:row>16</xdr:row>
      <xdr:rowOff>51955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20250" y="2052204"/>
          <a:ext cx="805296" cy="805296"/>
        </a:xfrm>
        <a:prstGeom prst="rect">
          <a:avLst/>
        </a:prstGeom>
      </xdr:spPr>
    </xdr:pic>
    <xdr:clientData/>
  </xdr:twoCellAnchor>
  <xdr:twoCellAnchor editAs="oneCell">
    <xdr:from>
      <xdr:col>6</xdr:col>
      <xdr:colOff>95251</xdr:colOff>
      <xdr:row>2</xdr:row>
      <xdr:rowOff>34637</xdr:rowOff>
    </xdr:from>
    <xdr:to>
      <xdr:col>7</xdr:col>
      <xdr:colOff>502228</xdr:colOff>
      <xdr:row>7</xdr:row>
      <xdr:rowOff>147205</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364183" y="484910"/>
          <a:ext cx="952500" cy="952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56356</xdr:colOff>
      <xdr:row>0</xdr:row>
      <xdr:rowOff>0</xdr:rowOff>
    </xdr:from>
    <xdr:to>
      <xdr:col>14</xdr:col>
      <xdr:colOff>151607</xdr:colOff>
      <xdr:row>3</xdr:row>
      <xdr:rowOff>142875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05169" y="0"/>
          <a:ext cx="706438" cy="7064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10474</xdr:colOff>
      <xdr:row>11</xdr:row>
      <xdr:rowOff>7620</xdr:rowOff>
    </xdr:from>
    <xdr:to>
      <xdr:col>11</xdr:col>
      <xdr:colOff>548640</xdr:colOff>
      <xdr:row>17</xdr:row>
      <xdr:rowOff>182880</xdr:rowOff>
    </xdr:to>
    <xdr:pic>
      <xdr:nvPicPr>
        <xdr:cNvPr id="7" name="Picture 6" descr="Zebra Love (@zebralover.vn) on Instagram: “Newly born calf ..."/>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09594" y="2072640"/>
          <a:ext cx="1094426" cy="1280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99060</xdr:colOff>
      <xdr:row>1</xdr:row>
      <xdr:rowOff>228600</xdr:rowOff>
    </xdr:from>
    <xdr:to>
      <xdr:col>11</xdr:col>
      <xdr:colOff>152400</xdr:colOff>
      <xdr:row>3</xdr:row>
      <xdr:rowOff>7620</xdr:rowOff>
    </xdr:to>
    <xdr:sp macro="" textlink="">
      <xdr:nvSpPr>
        <xdr:cNvPr id="8" name="Left Arrow 7" descr="8b5c9fde-c755-4458-9c32-66469ce17a54">
          <a:hlinkClick xmlns:r="http://schemas.openxmlformats.org/officeDocument/2006/relationships" r:id="rId2"/>
        </xdr:cNvPr>
        <xdr:cNvSpPr/>
      </xdr:nvSpPr>
      <xdr:spPr>
        <a:xfrm>
          <a:off x="7658100" y="487680"/>
          <a:ext cx="609600" cy="21336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655320</xdr:colOff>
      <xdr:row>3</xdr:row>
      <xdr:rowOff>15240</xdr:rowOff>
    </xdr:from>
    <xdr:to>
      <xdr:col>6</xdr:col>
      <xdr:colOff>13811</xdr:colOff>
      <xdr:row>6</xdr:row>
      <xdr:rowOff>135731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38700" y="579120"/>
          <a:ext cx="691991" cy="69199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488155</xdr:colOff>
      <xdr:row>0</xdr:row>
      <xdr:rowOff>0</xdr:rowOff>
    </xdr:from>
    <xdr:to>
      <xdr:col>13</xdr:col>
      <xdr:colOff>361949</xdr:colOff>
      <xdr:row>6</xdr:row>
      <xdr:rowOff>4762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9171" y="0"/>
          <a:ext cx="1088231" cy="10882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219075</xdr:colOff>
      <xdr:row>0</xdr:row>
      <xdr:rowOff>0</xdr:rowOff>
    </xdr:from>
    <xdr:to>
      <xdr:col>10</xdr:col>
      <xdr:colOff>238125</xdr:colOff>
      <xdr:row>7</xdr:row>
      <xdr:rowOff>114300</xdr:rowOff>
    </xdr:to>
    <xdr:pic>
      <xdr:nvPicPr>
        <xdr:cNvPr id="2" name="Picture 1" descr="https://media-public.canva.com/MADQ40AsASU/1/thumbnail_large-1.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8275" y="0"/>
          <a:ext cx="489585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323850</xdr:colOff>
      <xdr:row>12</xdr:row>
      <xdr:rowOff>9525</xdr:rowOff>
    </xdr:from>
    <xdr:to>
      <xdr:col>8</xdr:col>
      <xdr:colOff>161925</xdr:colOff>
      <xdr:row>15</xdr:row>
      <xdr:rowOff>19050</xdr:rowOff>
    </xdr:to>
    <xdr:sp macro="" textlink="">
      <xdr:nvSpPr>
        <xdr:cNvPr id="4" name="Left Arrow 3" descr="8c5fe0ae-c892-4cbc-849d-56f801c90690">
          <a:hlinkClick xmlns:r="http://schemas.openxmlformats.org/officeDocument/2006/relationships" r:id="rId3"/>
        </xdr:cNvPr>
        <xdr:cNvSpPr/>
      </xdr:nvSpPr>
      <xdr:spPr>
        <a:xfrm>
          <a:off x="3981450" y="2343150"/>
          <a:ext cx="1057275" cy="628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19050</xdr:colOff>
      <xdr:row>16</xdr:row>
      <xdr:rowOff>133349</xdr:rowOff>
    </xdr:from>
    <xdr:to>
      <xdr:col>19</xdr:col>
      <xdr:colOff>390525</xdr:colOff>
      <xdr:row>17</xdr:row>
      <xdr:rowOff>257174</xdr:rowOff>
    </xdr:to>
    <xdr:sp macro="" textlink="">
      <xdr:nvSpPr>
        <xdr:cNvPr id="5" name="Right Arrow 4" descr="7540917d-0377-4a9c-9f82-95dd9e0685cd">
          <a:hlinkClick xmlns:r="http://schemas.openxmlformats.org/officeDocument/2006/relationships" r:id="rId4"/>
        </xdr:cNvPr>
        <xdr:cNvSpPr/>
      </xdr:nvSpPr>
      <xdr:spPr>
        <a:xfrm>
          <a:off x="11591925" y="4038599"/>
          <a:ext cx="371475" cy="3333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180975</xdr:colOff>
      <xdr:row>16</xdr:row>
      <xdr:rowOff>133349</xdr:rowOff>
    </xdr:from>
    <xdr:to>
      <xdr:col>18</xdr:col>
      <xdr:colOff>552450</xdr:colOff>
      <xdr:row>17</xdr:row>
      <xdr:rowOff>257174</xdr:rowOff>
    </xdr:to>
    <xdr:sp macro="" textlink="">
      <xdr:nvSpPr>
        <xdr:cNvPr id="6" name="Right Arrow 5" descr="86fb3b24-c498-43e4-a96f-1db08ce0e830">
          <a:hlinkClick xmlns:r="http://schemas.openxmlformats.org/officeDocument/2006/relationships" r:id="rId5"/>
        </xdr:cNvPr>
        <xdr:cNvSpPr/>
      </xdr:nvSpPr>
      <xdr:spPr>
        <a:xfrm rot="10800000">
          <a:off x="11144250" y="4038599"/>
          <a:ext cx="371475" cy="3333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219075</xdr:colOff>
      <xdr:row>0</xdr:row>
      <xdr:rowOff>0</xdr:rowOff>
    </xdr:from>
    <xdr:to>
      <xdr:col>10</xdr:col>
      <xdr:colOff>238125</xdr:colOff>
      <xdr:row>7</xdr:row>
      <xdr:rowOff>114300</xdr:rowOff>
    </xdr:to>
    <xdr:pic>
      <xdr:nvPicPr>
        <xdr:cNvPr id="7" name="Picture 6" descr="https://media-public.canva.com/MADQ40AsASU/1/thumbnail_large-1.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8275" y="0"/>
          <a:ext cx="489585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323850</xdr:colOff>
      <xdr:row>12</xdr:row>
      <xdr:rowOff>9525</xdr:rowOff>
    </xdr:from>
    <xdr:to>
      <xdr:col>8</xdr:col>
      <xdr:colOff>161925</xdr:colOff>
      <xdr:row>15</xdr:row>
      <xdr:rowOff>19050</xdr:rowOff>
    </xdr:to>
    <xdr:sp macro="" textlink="">
      <xdr:nvSpPr>
        <xdr:cNvPr id="8" name="Left Arrow 7" descr="8c5fe0ae-c892-4cbc-849d-56f801c90690">
          <a:hlinkClick xmlns:r="http://schemas.openxmlformats.org/officeDocument/2006/relationships" r:id="rId6"/>
        </xdr:cNvPr>
        <xdr:cNvSpPr/>
      </xdr:nvSpPr>
      <xdr:spPr>
        <a:xfrm>
          <a:off x="3981450" y="2343150"/>
          <a:ext cx="1057275" cy="628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17</xdr:col>
      <xdr:colOff>380999</xdr:colOff>
      <xdr:row>0</xdr:row>
      <xdr:rowOff>0</xdr:rowOff>
    </xdr:from>
    <xdr:to>
      <xdr:col>20</xdr:col>
      <xdr:colOff>523874</xdr:colOff>
      <xdr:row>9</xdr:row>
      <xdr:rowOff>180975</xdr:rowOff>
    </xdr:to>
    <xdr:pic>
      <xdr:nvPicPr>
        <xdr:cNvPr id="3" name="Picture 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0744199" y="0"/>
          <a:ext cx="1971675" cy="19716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540544</xdr:colOff>
      <xdr:row>1</xdr:row>
      <xdr:rowOff>23813</xdr:rowOff>
    </xdr:from>
    <xdr:to>
      <xdr:col>5</xdr:col>
      <xdr:colOff>90486</xdr:colOff>
      <xdr:row>1</xdr:row>
      <xdr:rowOff>183355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2978944" y="280988"/>
          <a:ext cx="159542" cy="15954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114300</xdr:colOff>
      <xdr:row>0</xdr:row>
      <xdr:rowOff>114300</xdr:rowOff>
    </xdr:from>
    <xdr:to>
      <xdr:col>15</xdr:col>
      <xdr:colOff>219075</xdr:colOff>
      <xdr:row>17</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29375" y="114300"/>
          <a:ext cx="3152775" cy="3152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xdr:colOff>
      <xdr:row>17</xdr:row>
      <xdr:rowOff>133349</xdr:rowOff>
    </xdr:from>
    <xdr:to>
      <xdr:col>6</xdr:col>
      <xdr:colOff>390525</xdr:colOff>
      <xdr:row>18</xdr:row>
      <xdr:rowOff>257174</xdr:rowOff>
    </xdr:to>
    <xdr:sp macro="" textlink="">
      <xdr:nvSpPr>
        <xdr:cNvPr id="6" name="Right Arrow 5" descr="6dd0b0c8-b8c5-4e44-8edd-7d7acdb68c27">
          <a:hlinkClick xmlns:r="http://schemas.openxmlformats.org/officeDocument/2006/relationships" r:id="rId1"/>
        </xdr:cNvPr>
        <xdr:cNvSpPr/>
      </xdr:nvSpPr>
      <xdr:spPr>
        <a:xfrm>
          <a:off x="11591925" y="4038599"/>
          <a:ext cx="371475" cy="3333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180975</xdr:colOff>
      <xdr:row>17</xdr:row>
      <xdr:rowOff>133349</xdr:rowOff>
    </xdr:from>
    <xdr:to>
      <xdr:col>5</xdr:col>
      <xdr:colOff>552450</xdr:colOff>
      <xdr:row>18</xdr:row>
      <xdr:rowOff>257174</xdr:rowOff>
    </xdr:to>
    <xdr:sp macro="" textlink="">
      <xdr:nvSpPr>
        <xdr:cNvPr id="7" name="Right Arrow 6" descr="7aa7d9c6-9c82-4c03-b53f-47ea6197fad2">
          <a:hlinkClick xmlns:r="http://schemas.openxmlformats.org/officeDocument/2006/relationships" r:id="rId2"/>
        </xdr:cNvPr>
        <xdr:cNvSpPr/>
      </xdr:nvSpPr>
      <xdr:spPr>
        <a:xfrm rot="10800000">
          <a:off x="11144250" y="4038599"/>
          <a:ext cx="371475" cy="3333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11</xdr:col>
      <xdr:colOff>457200</xdr:colOff>
      <xdr:row>0</xdr:row>
      <xdr:rowOff>0</xdr:rowOff>
    </xdr:from>
    <xdr:to>
      <xdr:col>15</xdr:col>
      <xdr:colOff>304800</xdr:colOff>
      <xdr:row>9</xdr:row>
      <xdr:rowOff>95250</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515600" y="0"/>
          <a:ext cx="2286000" cy="228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53929</xdr:colOff>
      <xdr:row>1</xdr:row>
      <xdr:rowOff>190502</xdr:rowOff>
    </xdr:from>
    <xdr:to>
      <xdr:col>19</xdr:col>
      <xdr:colOff>411049</xdr:colOff>
      <xdr:row>5</xdr:row>
      <xdr:rowOff>83343</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50617" y="392908"/>
          <a:ext cx="976245" cy="678654"/>
        </a:xfrm>
        <a:prstGeom prst="rect">
          <a:avLst/>
        </a:prstGeom>
      </xdr:spPr>
    </xdr:pic>
    <xdr:clientData/>
  </xdr:twoCellAnchor>
  <xdr:twoCellAnchor editAs="oneCell">
    <xdr:from>
      <xdr:col>20</xdr:col>
      <xdr:colOff>142874</xdr:colOff>
      <xdr:row>1</xdr:row>
      <xdr:rowOff>130969</xdr:rowOff>
    </xdr:from>
    <xdr:to>
      <xdr:col>21</xdr:col>
      <xdr:colOff>369093</xdr:colOff>
      <xdr:row>5</xdr:row>
      <xdr:rowOff>166687</xdr:rowOff>
    </xdr:to>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977812" y="333375"/>
          <a:ext cx="821531" cy="821531"/>
        </a:xfrm>
        <a:prstGeom prst="rect">
          <a:avLst/>
        </a:prstGeom>
      </xdr:spPr>
    </xdr:pic>
    <xdr:clientData/>
  </xdr:twoCellAnchor>
  <xdr:twoCellAnchor>
    <xdr:from>
      <xdr:col>23</xdr:col>
      <xdr:colOff>328612</xdr:colOff>
      <xdr:row>8</xdr:row>
      <xdr:rowOff>180974</xdr:rowOff>
    </xdr:from>
    <xdr:to>
      <xdr:col>24</xdr:col>
      <xdr:colOff>188118</xdr:colOff>
      <xdr:row>10</xdr:row>
      <xdr:rowOff>47624</xdr:rowOff>
    </xdr:to>
    <xdr:sp macro="" textlink="">
      <xdr:nvSpPr>
        <xdr:cNvPr id="7" name="Right Arrow 6" descr="152fd44f-b031-45f0-b0e5-8374d9f93f91">
          <a:hlinkClick xmlns:r="http://schemas.openxmlformats.org/officeDocument/2006/relationships" r:id="rId5"/>
        </xdr:cNvPr>
        <xdr:cNvSpPr/>
      </xdr:nvSpPr>
      <xdr:spPr>
        <a:xfrm>
          <a:off x="14889956" y="1824037"/>
          <a:ext cx="371475" cy="24765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22</xdr:col>
      <xdr:colOff>383381</xdr:colOff>
      <xdr:row>8</xdr:row>
      <xdr:rowOff>180974</xdr:rowOff>
    </xdr:from>
    <xdr:to>
      <xdr:col>23</xdr:col>
      <xdr:colOff>204787</xdr:colOff>
      <xdr:row>10</xdr:row>
      <xdr:rowOff>47624</xdr:rowOff>
    </xdr:to>
    <xdr:sp macro="" textlink="">
      <xdr:nvSpPr>
        <xdr:cNvPr id="8" name="Right Arrow 7" descr="5a8b240c-af8b-4344-913c-aa3cfd971df3">
          <a:hlinkClick xmlns:r="http://schemas.openxmlformats.org/officeDocument/2006/relationships" r:id="rId6"/>
        </xdr:cNvPr>
        <xdr:cNvSpPr/>
      </xdr:nvSpPr>
      <xdr:spPr>
        <a:xfrm rot="10800000">
          <a:off x="14432756" y="1824037"/>
          <a:ext cx="333375" cy="24765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22</xdr:col>
      <xdr:colOff>416718</xdr:colOff>
      <xdr:row>0</xdr:row>
      <xdr:rowOff>0</xdr:rowOff>
    </xdr:from>
    <xdr:to>
      <xdr:col>25</xdr:col>
      <xdr:colOff>59530</xdr:colOff>
      <xdr:row>6</xdr:row>
      <xdr:rowOff>130968</xdr:rowOff>
    </xdr:to>
    <xdr:pic>
      <xdr:nvPicPr>
        <xdr:cNvPr id="2" name="Picture 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4466093" y="0"/>
          <a:ext cx="1393031" cy="13930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9</xdr:row>
      <xdr:rowOff>9525</xdr:rowOff>
    </xdr:from>
    <xdr:to>
      <xdr:col>3</xdr:col>
      <xdr:colOff>9525</xdr:colOff>
      <xdr:row>9</xdr:row>
      <xdr:rowOff>9526</xdr:rowOff>
    </xdr:to>
    <xdr:cxnSp macro="">
      <xdr:nvCxnSpPr>
        <xdr:cNvPr id="3" name="Straight Arrow Connector 2" descr="26878578-c2a1-4b88-933f-d94ede17c255"/>
        <xdr:cNvCxnSpPr/>
      </xdr:nvCxnSpPr>
      <xdr:spPr>
        <a:xfrm>
          <a:off x="1981200" y="1552575"/>
          <a:ext cx="523875" cy="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0</xdr:rowOff>
    </xdr:from>
    <xdr:to>
      <xdr:col>5</xdr:col>
      <xdr:colOff>9525</xdr:colOff>
      <xdr:row>9</xdr:row>
      <xdr:rowOff>1</xdr:rowOff>
    </xdr:to>
    <xdr:cxnSp macro="">
      <xdr:nvCxnSpPr>
        <xdr:cNvPr id="7" name="Straight Arrow Connector 6" descr="5204d57e-a57f-4562-9b05-97a07dfb9062"/>
        <xdr:cNvCxnSpPr/>
      </xdr:nvCxnSpPr>
      <xdr:spPr>
        <a:xfrm>
          <a:off x="4210050" y="1543050"/>
          <a:ext cx="523875" cy="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1704975</xdr:colOff>
      <xdr:row>9</xdr:row>
      <xdr:rowOff>0</xdr:rowOff>
    </xdr:from>
    <xdr:to>
      <xdr:col>7</xdr:col>
      <xdr:colOff>0</xdr:colOff>
      <xdr:row>9</xdr:row>
      <xdr:rowOff>1</xdr:rowOff>
    </xdr:to>
    <xdr:cxnSp macro="">
      <xdr:nvCxnSpPr>
        <xdr:cNvPr id="8" name="Straight Arrow Connector 7" descr="2e956109-cf85-4b44-a8b7-b4921adc558e"/>
        <xdr:cNvCxnSpPr/>
      </xdr:nvCxnSpPr>
      <xdr:spPr>
        <a:xfrm>
          <a:off x="6429375" y="1543050"/>
          <a:ext cx="523875" cy="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9</xdr:row>
      <xdr:rowOff>0</xdr:rowOff>
    </xdr:from>
    <xdr:to>
      <xdr:col>9</xdr:col>
      <xdr:colOff>0</xdr:colOff>
      <xdr:row>9</xdr:row>
      <xdr:rowOff>1</xdr:rowOff>
    </xdr:to>
    <xdr:cxnSp macro="">
      <xdr:nvCxnSpPr>
        <xdr:cNvPr id="9" name="Straight Arrow Connector 8" descr="420c0fec-c129-4b32-a1fa-03d8e855e4a5"/>
        <xdr:cNvCxnSpPr/>
      </xdr:nvCxnSpPr>
      <xdr:spPr>
        <a:xfrm>
          <a:off x="5838825" y="1752600"/>
          <a:ext cx="314325" cy="1"/>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xdr:row>
      <xdr:rowOff>180975</xdr:rowOff>
    </xdr:from>
    <xdr:to>
      <xdr:col>10</xdr:col>
      <xdr:colOff>314325</xdr:colOff>
      <xdr:row>8</xdr:row>
      <xdr:rowOff>180976</xdr:rowOff>
    </xdr:to>
    <xdr:cxnSp macro="">
      <xdr:nvCxnSpPr>
        <xdr:cNvPr id="10" name="Straight Arrow Connector 9" descr="428ed0a7-ff92-423b-80cc-3bb9011d599d"/>
        <xdr:cNvCxnSpPr/>
      </xdr:nvCxnSpPr>
      <xdr:spPr>
        <a:xfrm>
          <a:off x="7277100" y="1743075"/>
          <a:ext cx="314325" cy="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xdr:row>
      <xdr:rowOff>0</xdr:rowOff>
    </xdr:from>
    <xdr:to>
      <xdr:col>12</xdr:col>
      <xdr:colOff>314325</xdr:colOff>
      <xdr:row>9</xdr:row>
      <xdr:rowOff>1</xdr:rowOff>
    </xdr:to>
    <xdr:cxnSp macro="">
      <xdr:nvCxnSpPr>
        <xdr:cNvPr id="11" name="Straight Arrow Connector 10" descr="9cbd5af8-b301-4836-b660-5efc28106fc3"/>
        <xdr:cNvCxnSpPr/>
      </xdr:nvCxnSpPr>
      <xdr:spPr>
        <a:xfrm>
          <a:off x="8639175" y="1752600"/>
          <a:ext cx="314325" cy="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9</xdr:row>
      <xdr:rowOff>0</xdr:rowOff>
    </xdr:from>
    <xdr:to>
      <xdr:col>14</xdr:col>
      <xdr:colOff>314325</xdr:colOff>
      <xdr:row>9</xdr:row>
      <xdr:rowOff>1</xdr:rowOff>
    </xdr:to>
    <xdr:cxnSp macro="">
      <xdr:nvCxnSpPr>
        <xdr:cNvPr id="12" name="Straight Arrow Connector 11" descr="5b47a18a-51c8-42df-8439-8309ba27e7ad"/>
        <xdr:cNvCxnSpPr/>
      </xdr:nvCxnSpPr>
      <xdr:spPr>
        <a:xfrm>
          <a:off x="9972675" y="1752600"/>
          <a:ext cx="314325" cy="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9</xdr:row>
      <xdr:rowOff>9525</xdr:rowOff>
    </xdr:from>
    <xdr:to>
      <xdr:col>17</xdr:col>
      <xdr:colOff>0</xdr:colOff>
      <xdr:row>9</xdr:row>
      <xdr:rowOff>9526</xdr:rowOff>
    </xdr:to>
    <xdr:cxnSp macro="">
      <xdr:nvCxnSpPr>
        <xdr:cNvPr id="13" name="Straight Arrow Connector 12" descr="b269702a-cd9d-4247-9159-bca4997e71e2"/>
        <xdr:cNvCxnSpPr/>
      </xdr:nvCxnSpPr>
      <xdr:spPr>
        <a:xfrm>
          <a:off x="10963275" y="1771650"/>
          <a:ext cx="314325" cy="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19050</xdr:colOff>
      <xdr:row>0</xdr:row>
      <xdr:rowOff>0</xdr:rowOff>
    </xdr:from>
    <xdr:to>
      <xdr:col>8</xdr:col>
      <xdr:colOff>285750</xdr:colOff>
      <xdr:row>1</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5848350" y="0"/>
          <a:ext cx="266700" cy="266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64795</xdr:colOff>
      <xdr:row>9</xdr:row>
      <xdr:rowOff>45981</xdr:rowOff>
    </xdr:from>
    <xdr:to>
      <xdr:col>12</xdr:col>
      <xdr:colOff>266535</xdr:colOff>
      <xdr:row>12</xdr:row>
      <xdr:rowOff>39412</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09657" y="1648809"/>
          <a:ext cx="812654" cy="564931"/>
        </a:xfrm>
        <a:prstGeom prst="rect">
          <a:avLst/>
        </a:prstGeom>
      </xdr:spPr>
    </xdr:pic>
    <xdr:clientData/>
  </xdr:twoCellAnchor>
  <xdr:twoCellAnchor editAs="oneCell">
    <xdr:from>
      <xdr:col>12</xdr:col>
      <xdr:colOff>383466</xdr:colOff>
      <xdr:row>8</xdr:row>
      <xdr:rowOff>164225</xdr:rowOff>
    </xdr:from>
    <xdr:to>
      <xdr:col>13</xdr:col>
      <xdr:colOff>455723</xdr:colOff>
      <xdr:row>12</xdr:row>
      <xdr:rowOff>85396</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39242" y="1576553"/>
          <a:ext cx="683171" cy="683171"/>
        </a:xfrm>
        <a:prstGeom prst="rect">
          <a:avLst/>
        </a:prstGeom>
      </xdr:spPr>
    </xdr:pic>
    <xdr:clientData/>
  </xdr:twoCellAnchor>
  <xdr:twoCellAnchor>
    <xdr:from>
      <xdr:col>13</xdr:col>
      <xdr:colOff>19050</xdr:colOff>
      <xdr:row>15</xdr:row>
      <xdr:rowOff>133349</xdr:rowOff>
    </xdr:from>
    <xdr:to>
      <xdr:col>13</xdr:col>
      <xdr:colOff>390525</xdr:colOff>
      <xdr:row>16</xdr:row>
      <xdr:rowOff>257174</xdr:rowOff>
    </xdr:to>
    <xdr:sp macro="" textlink="">
      <xdr:nvSpPr>
        <xdr:cNvPr id="6" name="Right Arrow 5" descr="fa2df5dc-f13e-4816-bdbb-ae90aba5131f">
          <a:hlinkClick xmlns:r="http://schemas.openxmlformats.org/officeDocument/2006/relationships" r:id="rId5"/>
        </xdr:cNvPr>
        <xdr:cNvSpPr/>
      </xdr:nvSpPr>
      <xdr:spPr>
        <a:xfrm>
          <a:off x="11591925" y="4038599"/>
          <a:ext cx="371475" cy="3333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180975</xdr:colOff>
      <xdr:row>15</xdr:row>
      <xdr:rowOff>133349</xdr:rowOff>
    </xdr:from>
    <xdr:to>
      <xdr:col>12</xdr:col>
      <xdr:colOff>552450</xdr:colOff>
      <xdr:row>16</xdr:row>
      <xdr:rowOff>257174</xdr:rowOff>
    </xdr:to>
    <xdr:sp macro="" textlink="">
      <xdr:nvSpPr>
        <xdr:cNvPr id="7" name="Right Arrow 6" descr="d733d057-728e-4318-b842-7468a5c30327">
          <a:hlinkClick xmlns:r="http://schemas.openxmlformats.org/officeDocument/2006/relationships" r:id="rId6"/>
        </xdr:cNvPr>
        <xdr:cNvSpPr/>
      </xdr:nvSpPr>
      <xdr:spPr>
        <a:xfrm rot="10800000">
          <a:off x="11144250" y="4038599"/>
          <a:ext cx="371475" cy="3333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12</xdr:col>
      <xdr:colOff>454268</xdr:colOff>
      <xdr:row>1</xdr:row>
      <xdr:rowOff>73269</xdr:rowOff>
    </xdr:from>
    <xdr:to>
      <xdr:col>14</xdr:col>
      <xdr:colOff>286665</xdr:colOff>
      <xdr:row>6</xdr:row>
      <xdr:rowOff>154781</xdr:rowOff>
    </xdr:to>
    <xdr:pic>
      <xdr:nvPicPr>
        <xdr:cNvPr id="8" name="Picture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920403" y="271096"/>
          <a:ext cx="1048666" cy="10486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334360</xdr:colOff>
      <xdr:row>15</xdr:row>
      <xdr:rowOff>133349</xdr:rowOff>
    </xdr:from>
    <xdr:to>
      <xdr:col>10</xdr:col>
      <xdr:colOff>219732</xdr:colOff>
      <xdr:row>16</xdr:row>
      <xdr:rowOff>190499</xdr:rowOff>
    </xdr:to>
    <xdr:sp macro="" textlink="">
      <xdr:nvSpPr>
        <xdr:cNvPr id="4" name="Right Arrow 3" descr="9916bd02-f2f4-48fa-b500-0266aebf75d4">
          <a:hlinkClick xmlns:r="http://schemas.openxmlformats.org/officeDocument/2006/relationships" r:id="rId1"/>
        </xdr:cNvPr>
        <xdr:cNvSpPr/>
      </xdr:nvSpPr>
      <xdr:spPr>
        <a:xfrm>
          <a:off x="5701205" y="3017125"/>
          <a:ext cx="371475" cy="24765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332061</xdr:colOff>
      <xdr:row>15</xdr:row>
      <xdr:rowOff>133349</xdr:rowOff>
    </xdr:from>
    <xdr:to>
      <xdr:col>9</xdr:col>
      <xdr:colOff>243051</xdr:colOff>
      <xdr:row>16</xdr:row>
      <xdr:rowOff>190499</xdr:rowOff>
    </xdr:to>
    <xdr:sp macro="" textlink="">
      <xdr:nvSpPr>
        <xdr:cNvPr id="5" name="Right Arrow 4" descr="4b81381e-8de2-45d6-b048-efe430e8ad0b">
          <a:hlinkClick xmlns:r="http://schemas.openxmlformats.org/officeDocument/2006/relationships" r:id="rId2"/>
        </xdr:cNvPr>
        <xdr:cNvSpPr/>
      </xdr:nvSpPr>
      <xdr:spPr>
        <a:xfrm rot="10800000">
          <a:off x="5212802" y="3017125"/>
          <a:ext cx="397094" cy="24765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15</xdr:col>
      <xdr:colOff>32845</xdr:colOff>
      <xdr:row>0</xdr:row>
      <xdr:rowOff>0</xdr:rowOff>
    </xdr:from>
    <xdr:to>
      <xdr:col>16</xdr:col>
      <xdr:colOff>79238</xdr:colOff>
      <xdr:row>3</xdr:row>
      <xdr:rowOff>66100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94431" y="0"/>
          <a:ext cx="657307" cy="6573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523875</xdr:colOff>
      <xdr:row>20</xdr:row>
      <xdr:rowOff>142875</xdr:rowOff>
    </xdr:from>
    <xdr:to>
      <xdr:col>4</xdr:col>
      <xdr:colOff>803206</xdr:colOff>
      <xdr:row>24</xdr:row>
      <xdr:rowOff>104775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43300" y="3943350"/>
          <a:ext cx="1041331" cy="723900"/>
        </a:xfrm>
        <a:prstGeom prst="rect">
          <a:avLst/>
        </a:prstGeom>
      </xdr:spPr>
    </xdr:pic>
    <xdr:clientData/>
  </xdr:twoCellAnchor>
  <xdr:twoCellAnchor editAs="oneCell">
    <xdr:from>
      <xdr:col>5</xdr:col>
      <xdr:colOff>133350</xdr:colOff>
      <xdr:row>20</xdr:row>
      <xdr:rowOff>57150</xdr:rowOff>
    </xdr:from>
    <xdr:to>
      <xdr:col>6</xdr:col>
      <xdr:colOff>133350</xdr:colOff>
      <xdr:row>24</xdr:row>
      <xdr:rowOff>152400</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3450" y="3857625"/>
          <a:ext cx="857250" cy="857250"/>
        </a:xfrm>
        <a:prstGeom prst="rect">
          <a:avLst/>
        </a:prstGeom>
      </xdr:spPr>
    </xdr:pic>
    <xdr:clientData/>
  </xdr:twoCellAnchor>
  <xdr:twoCellAnchor>
    <xdr:from>
      <xdr:col>11</xdr:col>
      <xdr:colOff>19050</xdr:colOff>
      <xdr:row>1</xdr:row>
      <xdr:rowOff>133349</xdr:rowOff>
    </xdr:from>
    <xdr:to>
      <xdr:col>11</xdr:col>
      <xdr:colOff>390525</xdr:colOff>
      <xdr:row>2</xdr:row>
      <xdr:rowOff>257174</xdr:rowOff>
    </xdr:to>
    <xdr:sp macro="" textlink="">
      <xdr:nvSpPr>
        <xdr:cNvPr id="4" name="Right Arrow 3" descr="41023855-f6d7-4c4b-bf96-9e138e58e296">
          <a:hlinkClick xmlns:r="http://schemas.openxmlformats.org/officeDocument/2006/relationships" r:id="rId5"/>
        </xdr:cNvPr>
        <xdr:cNvSpPr/>
      </xdr:nvSpPr>
      <xdr:spPr>
        <a:xfrm>
          <a:off x="11591925" y="4038599"/>
          <a:ext cx="371475" cy="3333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180975</xdr:colOff>
      <xdr:row>1</xdr:row>
      <xdr:rowOff>133349</xdr:rowOff>
    </xdr:from>
    <xdr:to>
      <xdr:col>10</xdr:col>
      <xdr:colOff>552450</xdr:colOff>
      <xdr:row>2</xdr:row>
      <xdr:rowOff>257174</xdr:rowOff>
    </xdr:to>
    <xdr:sp macro="" textlink="">
      <xdr:nvSpPr>
        <xdr:cNvPr id="6" name="Right Arrow 5" descr="921c4760-7476-44bb-a340-234ff35ce6ed">
          <a:hlinkClick xmlns:r="http://schemas.openxmlformats.org/officeDocument/2006/relationships" r:id="rId6"/>
        </xdr:cNvPr>
        <xdr:cNvSpPr/>
      </xdr:nvSpPr>
      <xdr:spPr>
        <a:xfrm rot="10800000">
          <a:off x="11144250" y="4038599"/>
          <a:ext cx="371475" cy="3333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15</xdr:col>
      <xdr:colOff>133350</xdr:colOff>
      <xdr:row>0</xdr:row>
      <xdr:rowOff>0</xdr:rowOff>
    </xdr:from>
    <xdr:to>
      <xdr:col>17</xdr:col>
      <xdr:colOff>30956</xdr:colOff>
      <xdr:row>4</xdr:row>
      <xdr:rowOff>154781</xdr:rowOff>
    </xdr:to>
    <xdr:pic>
      <xdr:nvPicPr>
        <xdr:cNvPr id="7" name="Picture 6"/>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601450" y="0"/>
          <a:ext cx="1088231" cy="10882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810793</xdr:colOff>
      <xdr:row>20</xdr:row>
      <xdr:rowOff>19639</xdr:rowOff>
    </xdr:from>
    <xdr:to>
      <xdr:col>13</xdr:col>
      <xdr:colOff>1983209</xdr:colOff>
      <xdr:row>24</xdr:row>
      <xdr:rowOff>88377</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34994" y="3888557"/>
          <a:ext cx="1172416" cy="815026"/>
        </a:xfrm>
        <a:prstGeom prst="rect">
          <a:avLst/>
        </a:prstGeom>
      </xdr:spPr>
    </xdr:pic>
    <xdr:clientData/>
  </xdr:twoCellAnchor>
  <xdr:twoCellAnchor editAs="oneCell">
    <xdr:from>
      <xdr:col>13</xdr:col>
      <xdr:colOff>2130851</xdr:colOff>
      <xdr:row>19</xdr:row>
      <xdr:rowOff>137475</xdr:rowOff>
    </xdr:from>
    <xdr:to>
      <xdr:col>14</xdr:col>
      <xdr:colOff>412423</xdr:colOff>
      <xdr:row>24</xdr:row>
      <xdr:rowOff>186573</xdr:rowOff>
    </xdr:to>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155052" y="3819820"/>
          <a:ext cx="981959" cy="981959"/>
        </a:xfrm>
        <a:prstGeom prst="rect">
          <a:avLst/>
        </a:prstGeom>
      </xdr:spPr>
    </xdr:pic>
    <xdr:clientData/>
  </xdr:twoCellAnchor>
  <xdr:twoCellAnchor>
    <xdr:from>
      <xdr:col>18</xdr:col>
      <xdr:colOff>19050</xdr:colOff>
      <xdr:row>19</xdr:row>
      <xdr:rowOff>133349</xdr:rowOff>
    </xdr:from>
    <xdr:to>
      <xdr:col>18</xdr:col>
      <xdr:colOff>390525</xdr:colOff>
      <xdr:row>20</xdr:row>
      <xdr:rowOff>257174</xdr:rowOff>
    </xdr:to>
    <xdr:sp macro="" textlink="">
      <xdr:nvSpPr>
        <xdr:cNvPr id="7" name="Right Arrow 6" descr="65bb330b-b928-4331-bb27-b298a99329ad">
          <a:hlinkClick xmlns:r="http://schemas.openxmlformats.org/officeDocument/2006/relationships" r:id="rId5"/>
        </xdr:cNvPr>
        <xdr:cNvSpPr/>
      </xdr:nvSpPr>
      <xdr:spPr>
        <a:xfrm>
          <a:off x="11591925" y="4038599"/>
          <a:ext cx="371475" cy="3333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180975</xdr:colOff>
      <xdr:row>19</xdr:row>
      <xdr:rowOff>133349</xdr:rowOff>
    </xdr:from>
    <xdr:to>
      <xdr:col>17</xdr:col>
      <xdr:colOff>552450</xdr:colOff>
      <xdr:row>20</xdr:row>
      <xdr:rowOff>257174</xdr:rowOff>
    </xdr:to>
    <xdr:sp macro="" textlink="">
      <xdr:nvSpPr>
        <xdr:cNvPr id="8" name="Right Arrow 7" descr="1636bdd0-01bd-420d-88ad-dd82f6eaffe8">
          <a:hlinkClick xmlns:r="http://schemas.openxmlformats.org/officeDocument/2006/relationships" r:id="rId6"/>
        </xdr:cNvPr>
        <xdr:cNvSpPr/>
      </xdr:nvSpPr>
      <xdr:spPr>
        <a:xfrm rot="10800000">
          <a:off x="11144250" y="4038599"/>
          <a:ext cx="371475" cy="3333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12</xdr:col>
      <xdr:colOff>68738</xdr:colOff>
      <xdr:row>2</xdr:row>
      <xdr:rowOff>29459</xdr:rowOff>
    </xdr:from>
    <xdr:to>
      <xdr:col>12</xdr:col>
      <xdr:colOff>548154</xdr:colOff>
      <xdr:row>4</xdr:row>
      <xdr:rowOff>125911</xdr:rowOff>
    </xdr:to>
    <xdr:pic>
      <xdr:nvPicPr>
        <xdr:cNvPr id="6" name="Picture 5"/>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484125" y="520438"/>
          <a:ext cx="479416" cy="4794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elcome\Documents\Desktop\5BF96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e-analysis checklist"/>
      <sheetName val="Stock Ideas"/>
      <sheetName val="summary"/>
      <sheetName val="2-minute test"/>
      <sheetName val="Balance Sheet"/>
      <sheetName val="balance sheet CFA"/>
      <sheetName val="Financial Health"/>
      <sheetName val="Income statement"/>
      <sheetName val="Income statement CFA"/>
      <sheetName val="Growth"/>
      <sheetName val="Cash Flow"/>
      <sheetName val="Profitability"/>
      <sheetName val="Relative valuation"/>
      <sheetName val="Ben Graham Formula"/>
      <sheetName val="Dhandho "/>
      <sheetName val="DCF"/>
      <sheetName val="Expected Returns"/>
      <sheetName val="Intrinsic Values"/>
      <sheetName val="post analysis checklist"/>
      <sheetName val="Quarters"/>
      <sheetName val="Data Sheet"/>
      <sheetName val="Customiz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W7" t="str">
            <v>YES</v>
          </cell>
        </row>
        <row r="8">
          <cell r="W8" t="str">
            <v>NO</v>
          </cell>
        </row>
      </sheetData>
      <sheetData sheetId="17"/>
      <sheetData sheetId="18"/>
      <sheetData sheetId="19"/>
      <sheetData sheetId="20"/>
      <sheetData sheetId="21"/>
      <sheetData sheetId="22"/>
    </sheetDataSet>
  </externalBook>
</externalLink>
</file>

<file path=xl/tables/table1.xml><?xml version="1.0" encoding="utf-8"?>
<table xmlns="http://schemas.openxmlformats.org/spreadsheetml/2006/main" id="2" name="Quarters" displayName="Quarters" ref="A3:K17" headerRowCount="0" totalsRowShown="0" headerRowDxfId="26" dataDxfId="25" tableBorderDxfId="24" totalsRowBorderDxfId="23">
  <tableColumns count="11">
    <tableColumn id="1" name="Column1" headerRowDxfId="22" dataDxfId="21"/>
    <tableColumn id="2" name="Column2" headerRowDxfId="20" dataDxfId="19"/>
    <tableColumn id="3" name="Column3" headerRowDxfId="18" dataDxfId="17"/>
    <tableColumn id="4" name="Column4" headerRowDxfId="16" dataDxfId="15"/>
    <tableColumn id="5" name="Column5" headerRowDxfId="14" dataDxfId="13"/>
    <tableColumn id="6" name="Column6" headerRowDxfId="12" dataDxfId="11"/>
    <tableColumn id="7" name="Column7" headerRowDxfId="10" dataDxfId="9"/>
    <tableColumn id="8" name="Column8" headerRowDxfId="8" dataDxfId="7"/>
    <tableColumn id="9" name="Column9" headerRowDxfId="6" dataDxfId="5"/>
    <tableColumn id="10" name="Column10" headerRowDxfId="4" dataDxfId="3"/>
    <tableColumn id="11" name="Column11" headerRowDxfId="2" dataDxfId="1"/>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youtube.com/watch?v=OQ8etK_7Si4" TargetMode="External"/><Relationship Id="rId2" Type="http://schemas.openxmlformats.org/officeDocument/2006/relationships/hyperlink" Target="https://investordiary.in/" TargetMode="External"/><Relationship Id="rId1" Type="http://schemas.openxmlformats.org/officeDocument/2006/relationships/hyperlink" Target="https://www.screener.in/regist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investordiary.in/" TargetMode="External"/><Relationship Id="rId1" Type="http://schemas.openxmlformats.org/officeDocument/2006/relationships/hyperlink" Target="https://www.youtube.com/watch?v=d3anvaNEKFQ"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0.bin"/><Relationship Id="rId1" Type="http://schemas.openxmlformats.org/officeDocument/2006/relationships/hyperlink" Target="https://www.youtube.com/watch?v=il-1t5jNN34"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1.bin"/><Relationship Id="rId1" Type="http://schemas.openxmlformats.org/officeDocument/2006/relationships/hyperlink" Target="https://www.youtube.com/watch?v=hA3kvNjyxpE"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youtube.com/watch?v=tB_zctGUI_U" TargetMode="External"/><Relationship Id="rId1" Type="http://schemas.openxmlformats.org/officeDocument/2006/relationships/hyperlink" Target="https://tradingeconomics.com/india/government-bond-yield"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3.bin"/><Relationship Id="rId1" Type="http://schemas.openxmlformats.org/officeDocument/2006/relationships/hyperlink" Target="https://www.investordiary.in/articles/intrinsic-valuation/"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investordiary.in/articles/intrinsic-valuation/" TargetMode="External"/><Relationship Id="rId1" Type="http://schemas.openxmlformats.org/officeDocument/2006/relationships/hyperlink" Target="https://amzn.to/2CNtxH7"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8.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26" Type="http://schemas.openxmlformats.org/officeDocument/2006/relationships/hyperlink" Target="https://www.screener.in/company/ASTRAL/consolidated/" TargetMode="External"/><Relationship Id="rId21" Type="http://schemas.openxmlformats.org/officeDocument/2006/relationships/hyperlink" Target="https://www.screener.in/company/AJANTPHARM/consolidated/" TargetMode="External"/><Relationship Id="rId42" Type="http://schemas.openxmlformats.org/officeDocument/2006/relationships/hyperlink" Target="https://www.screener.in/company/DIVISLAB/consolidated/" TargetMode="External"/><Relationship Id="rId47" Type="http://schemas.openxmlformats.org/officeDocument/2006/relationships/hyperlink" Target="https://www.screener.in/company/FDC/consolidated/" TargetMode="External"/><Relationship Id="rId63" Type="http://schemas.openxmlformats.org/officeDocument/2006/relationships/hyperlink" Target="https://www.screener.in/company/LAOPALA/" TargetMode="External"/><Relationship Id="rId68" Type="http://schemas.openxmlformats.org/officeDocument/2006/relationships/hyperlink" Target="https://www.screener.in/company/NAVNETEDUL/consolidated/" TargetMode="External"/><Relationship Id="rId84" Type="http://schemas.openxmlformats.org/officeDocument/2006/relationships/hyperlink" Target="https://www.screener.in/company/THYROCARE/consolidated/" TargetMode="External"/><Relationship Id="rId89" Type="http://schemas.openxmlformats.org/officeDocument/2006/relationships/hyperlink" Target="https://www.screener.in/company/VSTIND/" TargetMode="External"/><Relationship Id="rId112" Type="http://schemas.openxmlformats.org/officeDocument/2006/relationships/hyperlink" Target="https://www.screener.in/company/CCL/consolidated/" TargetMode="External"/><Relationship Id="rId2" Type="http://schemas.openxmlformats.org/officeDocument/2006/relationships/hyperlink" Target="https://investordiary.in/" TargetMode="External"/><Relationship Id="rId16" Type="http://schemas.openxmlformats.org/officeDocument/2006/relationships/hyperlink" Target="http://www.screener.in/company/507526/" TargetMode="External"/><Relationship Id="rId29" Type="http://schemas.openxmlformats.org/officeDocument/2006/relationships/hyperlink" Target="https://www.screener.in/company/BERGEPAINT/consolidated/" TargetMode="External"/><Relationship Id="rId107" Type="http://schemas.openxmlformats.org/officeDocument/2006/relationships/hyperlink" Target="https://www.screener.in/company/WIPRO/consolidated/" TargetMode="External"/><Relationship Id="rId11" Type="http://schemas.openxmlformats.org/officeDocument/2006/relationships/hyperlink" Target="http://www.screener.in/company/ASIANPAINT/consolidated" TargetMode="External"/><Relationship Id="rId24" Type="http://schemas.openxmlformats.org/officeDocument/2006/relationships/hyperlink" Target="https://www.screener.in/company/AMARAJABAT/" TargetMode="External"/><Relationship Id="rId32" Type="http://schemas.openxmlformats.org/officeDocument/2006/relationships/hyperlink" Target="https://www.screener.in/company/CARERATING/consolidated/" TargetMode="External"/><Relationship Id="rId37" Type="http://schemas.openxmlformats.org/officeDocument/2006/relationships/hyperlink" Target="https://www.screener.in/company/CRISIL/consolidated/" TargetMode="External"/><Relationship Id="rId40" Type="http://schemas.openxmlformats.org/officeDocument/2006/relationships/hyperlink" Target="https://www.screener.in/company/DFMFOODS/" TargetMode="External"/><Relationship Id="rId45" Type="http://schemas.openxmlformats.org/officeDocument/2006/relationships/hyperlink" Target="https://www.screener.in/company/500123/" TargetMode="External"/><Relationship Id="rId53" Type="http://schemas.openxmlformats.org/officeDocument/2006/relationships/hyperlink" Target="https://www.screener.in/company/GULFOILLUB/" TargetMode="External"/><Relationship Id="rId58" Type="http://schemas.openxmlformats.org/officeDocument/2006/relationships/hyperlink" Target="https://www.screener.in/company/JYOTHYLAB/consolidated/" TargetMode="External"/><Relationship Id="rId66" Type="http://schemas.openxmlformats.org/officeDocument/2006/relationships/hyperlink" Target="https://www.screener.in/company/MINDTREE/consolidated/" TargetMode="External"/><Relationship Id="rId74" Type="http://schemas.openxmlformats.org/officeDocument/2006/relationships/hyperlink" Target="https://www.screener.in/company/PAGEIND/" TargetMode="External"/><Relationship Id="rId79" Type="http://schemas.openxmlformats.org/officeDocument/2006/relationships/hyperlink" Target="https://www.screener.in/company/SONATSOFTW/consolidated/" TargetMode="External"/><Relationship Id="rId87" Type="http://schemas.openxmlformats.org/officeDocument/2006/relationships/hyperlink" Target="https://www.screener.in/company/VGUARD/" TargetMode="External"/><Relationship Id="rId102" Type="http://schemas.openxmlformats.org/officeDocument/2006/relationships/hyperlink" Target="https://www.screener.in/company/NESTLEIND/" TargetMode="External"/><Relationship Id="rId110" Type="http://schemas.openxmlformats.org/officeDocument/2006/relationships/hyperlink" Target="https://www.screener.in/company/AUROPHARMA/consolidated/" TargetMode="External"/><Relationship Id="rId5" Type="http://schemas.openxmlformats.org/officeDocument/2006/relationships/hyperlink" Target="http://www.screener.in/company/3MINDIA/" TargetMode="External"/><Relationship Id="rId61" Type="http://schemas.openxmlformats.org/officeDocument/2006/relationships/hyperlink" Target="https://www.screener.in/company/KKCL/" TargetMode="External"/><Relationship Id="rId82" Type="http://schemas.openxmlformats.org/officeDocument/2006/relationships/hyperlink" Target="https://www.screener.in/company/SYMPHONY/consolidated/" TargetMode="External"/><Relationship Id="rId90" Type="http://schemas.openxmlformats.org/officeDocument/2006/relationships/hyperlink" Target="https://www.screener.in/company/WHIRLPOOL/" TargetMode="External"/><Relationship Id="rId95" Type="http://schemas.openxmlformats.org/officeDocument/2006/relationships/hyperlink" Target="https://www.screener.in/company/GODREJCP/consolidated/" TargetMode="External"/><Relationship Id="rId19" Type="http://schemas.openxmlformats.org/officeDocument/2006/relationships/hyperlink" Target="https://www.screener.in/company/ABBOTINDIA/" TargetMode="External"/><Relationship Id="rId14" Type="http://schemas.openxmlformats.org/officeDocument/2006/relationships/hyperlink" Target="http://www.screener.in/company/EICHERMOT/consolidated" TargetMode="External"/><Relationship Id="rId22" Type="http://schemas.openxmlformats.org/officeDocument/2006/relationships/hyperlink" Target="https://www.screener.in/company/AKZOINDIA/" TargetMode="External"/><Relationship Id="rId27" Type="http://schemas.openxmlformats.org/officeDocument/2006/relationships/hyperlink" Target="https://www.screener.in/company/ATULAUTO/" TargetMode="External"/><Relationship Id="rId30" Type="http://schemas.openxmlformats.org/officeDocument/2006/relationships/hyperlink" Target="https://www.screener.in/company/BBTC/consolidated/" TargetMode="External"/><Relationship Id="rId35" Type="http://schemas.openxmlformats.org/officeDocument/2006/relationships/hyperlink" Target="https://www.screener.in/company/CERA/" TargetMode="External"/><Relationship Id="rId43" Type="http://schemas.openxmlformats.org/officeDocument/2006/relationships/hyperlink" Target="https://www.screener.in/company/LALPATHLAB/consolidated/" TargetMode="External"/><Relationship Id="rId48" Type="http://schemas.openxmlformats.org/officeDocument/2006/relationships/hyperlink" Target="https://www.screener.in/company/FOSECOIND/" TargetMode="External"/><Relationship Id="rId56" Type="http://schemas.openxmlformats.org/officeDocument/2006/relationships/hyperlink" Target="https://www.screener.in/company/ICRA/consolidated/" TargetMode="External"/><Relationship Id="rId64" Type="http://schemas.openxmlformats.org/officeDocument/2006/relationships/hyperlink" Target="https://www.screener.in/company/MARICO/consolidated/" TargetMode="External"/><Relationship Id="rId69" Type="http://schemas.openxmlformats.org/officeDocument/2006/relationships/hyperlink" Target="https://www.screener.in/company/NESCO/consolidated/" TargetMode="External"/><Relationship Id="rId77" Type="http://schemas.openxmlformats.org/officeDocument/2006/relationships/hyperlink" Target="https://www.screener.in/company/SANOFI/" TargetMode="External"/><Relationship Id="rId100" Type="http://schemas.openxmlformats.org/officeDocument/2006/relationships/hyperlink" Target="https://www.screener.in/company/ITC/consolidated/" TargetMode="External"/><Relationship Id="rId105" Type="http://schemas.openxmlformats.org/officeDocument/2006/relationships/hyperlink" Target="https://www.screener.in/company/TECHM/consolidated/" TargetMode="External"/><Relationship Id="rId113" Type="http://schemas.openxmlformats.org/officeDocument/2006/relationships/printerSettings" Target="../printerSettings/printerSettings2.bin"/><Relationship Id="rId8" Type="http://schemas.openxmlformats.org/officeDocument/2006/relationships/hyperlink" Target="http://www.screener.in/company/SUPREMEIND/consolidated" TargetMode="External"/><Relationship Id="rId51" Type="http://schemas.openxmlformats.org/officeDocument/2006/relationships/hyperlink" Target="https://www.screener.in/company/GILLETTE/" TargetMode="External"/><Relationship Id="rId72" Type="http://schemas.openxmlformats.org/officeDocument/2006/relationships/hyperlink" Target="https://www.screener.in/company/PGHH/" TargetMode="External"/><Relationship Id="rId80" Type="http://schemas.openxmlformats.org/officeDocument/2006/relationships/hyperlink" Target="https://www.screener.in/company/SUNTV/consolidated/" TargetMode="External"/><Relationship Id="rId85" Type="http://schemas.openxmlformats.org/officeDocument/2006/relationships/hyperlink" Target="https://www.screener.in/company/TIDEWATER/consolidated/" TargetMode="External"/><Relationship Id="rId93" Type="http://schemas.openxmlformats.org/officeDocument/2006/relationships/hyperlink" Target="https://www.screener.in/company/DMART/consolidated/" TargetMode="External"/><Relationship Id="rId98" Type="http://schemas.openxmlformats.org/officeDocument/2006/relationships/hyperlink" Target="https://www.screener.in/company/HINDZINC/" TargetMode="External"/><Relationship Id="rId3" Type="http://schemas.openxmlformats.org/officeDocument/2006/relationships/hyperlink" Target="https://www.moneycontrol.com/stocks/marketstats/bselow/" TargetMode="External"/><Relationship Id="rId12" Type="http://schemas.openxmlformats.org/officeDocument/2006/relationships/hyperlink" Target="http://www.screener.in/company/BRITANNIA/consolidated" TargetMode="External"/><Relationship Id="rId17" Type="http://schemas.openxmlformats.org/officeDocument/2006/relationships/hyperlink" Target="http://www.screener.in/company/CONTROLPR/" TargetMode="External"/><Relationship Id="rId25" Type="http://schemas.openxmlformats.org/officeDocument/2006/relationships/hyperlink" Target="https://www.screener.in/company/AMRUTANJAN/" TargetMode="External"/><Relationship Id="rId33" Type="http://schemas.openxmlformats.org/officeDocument/2006/relationships/hyperlink" Target="https://www.screener.in/company/CASTROLIND/" TargetMode="External"/><Relationship Id="rId38" Type="http://schemas.openxmlformats.org/officeDocument/2006/relationships/hyperlink" Target="https://www.screener.in/company/CUMMINSIND/consolidated/" TargetMode="External"/><Relationship Id="rId46" Type="http://schemas.openxmlformats.org/officeDocument/2006/relationships/hyperlink" Target="https://www.screener.in/company/ENDURANCE/consolidated/" TargetMode="External"/><Relationship Id="rId59" Type="http://schemas.openxmlformats.org/officeDocument/2006/relationships/hyperlink" Target="https://www.screener.in/company/KAJARIACER/consolidated/" TargetMode="External"/><Relationship Id="rId67" Type="http://schemas.openxmlformats.org/officeDocument/2006/relationships/hyperlink" Target="https://www.screener.in/company/MRF/consolidated/" TargetMode="External"/><Relationship Id="rId103" Type="http://schemas.openxmlformats.org/officeDocument/2006/relationships/hyperlink" Target="https://www.screener.in/company/PIDILITIND/consolidated/" TargetMode="External"/><Relationship Id="rId108" Type="http://schemas.openxmlformats.org/officeDocument/2006/relationships/hyperlink" Target="https://www.screener.in/company/CUPID/" TargetMode="External"/><Relationship Id="rId20" Type="http://schemas.openxmlformats.org/officeDocument/2006/relationships/hyperlink" Target="https://www.screener.in/company/AIAENG/consolidated/" TargetMode="External"/><Relationship Id="rId41" Type="http://schemas.openxmlformats.org/officeDocument/2006/relationships/hyperlink" Target="https://www.screener.in/company/DHANUKA/consolidated/" TargetMode="External"/><Relationship Id="rId54" Type="http://schemas.openxmlformats.org/officeDocument/2006/relationships/hyperlink" Target="https://www.screener.in/company/508486/" TargetMode="External"/><Relationship Id="rId62" Type="http://schemas.openxmlformats.org/officeDocument/2006/relationships/hyperlink" Target="https://www.screener.in/company/LTI/consolidated/" TargetMode="External"/><Relationship Id="rId70" Type="http://schemas.openxmlformats.org/officeDocument/2006/relationships/hyperlink" Target="https://www.screener.in/company/OFSS/consolidated/" TargetMode="External"/><Relationship Id="rId75" Type="http://schemas.openxmlformats.org/officeDocument/2006/relationships/hyperlink" Target="https://www.screener.in/company/PERSISTENT/consolidated/" TargetMode="External"/><Relationship Id="rId83" Type="http://schemas.openxmlformats.org/officeDocument/2006/relationships/hyperlink" Target="https://www.screener.in/company/TATAELXSI/" TargetMode="External"/><Relationship Id="rId88" Type="http://schemas.openxmlformats.org/officeDocument/2006/relationships/hyperlink" Target="https://www.screener.in/company/VINATIORGA/" TargetMode="External"/><Relationship Id="rId91" Type="http://schemas.openxmlformats.org/officeDocument/2006/relationships/hyperlink" Target="https://www.screener.in/company/ZENSARTECH/consolidated/" TargetMode="External"/><Relationship Id="rId96" Type="http://schemas.openxmlformats.org/officeDocument/2006/relationships/hyperlink" Target="https://www.screener.in/company/HEROMOTOCO/consolidated/" TargetMode="External"/><Relationship Id="rId111" Type="http://schemas.openxmlformats.org/officeDocument/2006/relationships/hyperlink" Target="https://www.screener.in/company/BALKRISIND/consolidated/" TargetMode="External"/><Relationship Id="rId1" Type="http://schemas.openxmlformats.org/officeDocument/2006/relationships/hyperlink" Target="https://www.screener.in/screens/280142/MULTIBAGGER-IDEAS/" TargetMode="External"/><Relationship Id="rId6" Type="http://schemas.openxmlformats.org/officeDocument/2006/relationships/hyperlink" Target="http://www.screener.in/company/RELAXO/" TargetMode="External"/><Relationship Id="rId15" Type="http://schemas.openxmlformats.org/officeDocument/2006/relationships/hyperlink" Target="http://www.screener.in/company/HCLTECH/consolidated" TargetMode="External"/><Relationship Id="rId23" Type="http://schemas.openxmlformats.org/officeDocument/2006/relationships/hyperlink" Target="https://www.screener.in/company/APLLTD/consolidated/" TargetMode="External"/><Relationship Id="rId28" Type="http://schemas.openxmlformats.org/officeDocument/2006/relationships/hyperlink" Target="https://www.screener.in/company/AVANTIFEED/consolidated/" TargetMode="External"/><Relationship Id="rId36" Type="http://schemas.openxmlformats.org/officeDocument/2006/relationships/hyperlink" Target="https://www.screener.in/company/COLPAL/" TargetMode="External"/><Relationship Id="rId49" Type="http://schemas.openxmlformats.org/officeDocument/2006/relationships/hyperlink" Target="https://www.screener.in/company/GMBREW/" TargetMode="External"/><Relationship Id="rId57" Type="http://schemas.openxmlformats.org/officeDocument/2006/relationships/hyperlink" Target="https://www.screener.in/company/IGL/consolidated/" TargetMode="External"/><Relationship Id="rId106" Type="http://schemas.openxmlformats.org/officeDocument/2006/relationships/hyperlink" Target="https://www.screener.in/company/TITAN/consolidated/" TargetMode="External"/><Relationship Id="rId114" Type="http://schemas.openxmlformats.org/officeDocument/2006/relationships/drawing" Target="../drawings/drawing2.xml"/><Relationship Id="rId10" Type="http://schemas.openxmlformats.org/officeDocument/2006/relationships/hyperlink" Target="https://www.screener.in/company/GALAXYSURF/consolidated/" TargetMode="External"/><Relationship Id="rId31" Type="http://schemas.openxmlformats.org/officeDocument/2006/relationships/hyperlink" Target="https://www.screener.in/company/CADILAHC/consolidated/" TargetMode="External"/><Relationship Id="rId44" Type="http://schemas.openxmlformats.org/officeDocument/2006/relationships/hyperlink" Target="https://www.screener.in/company/ECLERX/consolidated/" TargetMode="External"/><Relationship Id="rId52" Type="http://schemas.openxmlformats.org/officeDocument/2006/relationships/hyperlink" Target="https://www.screener.in/company/GSKCONS/" TargetMode="External"/><Relationship Id="rId60" Type="http://schemas.openxmlformats.org/officeDocument/2006/relationships/hyperlink" Target="https://www.screener.in/company/KANSAINER/consolidated/" TargetMode="External"/><Relationship Id="rId65" Type="http://schemas.openxmlformats.org/officeDocument/2006/relationships/hyperlink" Target="https://www.screener.in/company/MAYURUNIQ/" TargetMode="External"/><Relationship Id="rId73" Type="http://schemas.openxmlformats.org/officeDocument/2006/relationships/hyperlink" Target="https://www.screener.in/company/PIIND/consolidated/" TargetMode="External"/><Relationship Id="rId78" Type="http://schemas.openxmlformats.org/officeDocument/2006/relationships/hyperlink" Target="https://www.screener.in/company/SOLARINDS/consolidated/" TargetMode="External"/><Relationship Id="rId81" Type="http://schemas.openxmlformats.org/officeDocument/2006/relationships/hyperlink" Target="https://www.screener.in/company/SWARAJENG/" TargetMode="External"/><Relationship Id="rId86" Type="http://schemas.openxmlformats.org/officeDocument/2006/relationships/hyperlink" Target="https://www.screener.in/company/TTKPRESTIG/" TargetMode="External"/><Relationship Id="rId94" Type="http://schemas.openxmlformats.org/officeDocument/2006/relationships/hyperlink" Target="https://www.screener.in/company/BAJAJ-AUTO/consolidated/" TargetMode="External"/><Relationship Id="rId99" Type="http://schemas.openxmlformats.org/officeDocument/2006/relationships/hyperlink" Target="https://www.screener.in/company/INFY/consolidated/" TargetMode="External"/><Relationship Id="rId101" Type="http://schemas.openxmlformats.org/officeDocument/2006/relationships/hyperlink" Target="https://www.screener.in/company/MARUTI/consolidated/" TargetMode="External"/><Relationship Id="rId4" Type="http://schemas.openxmlformats.org/officeDocument/2006/relationships/hyperlink" Target="https://www.moneycontrol.com/ipo/ipo-historic-table" TargetMode="External"/><Relationship Id="rId9" Type="http://schemas.openxmlformats.org/officeDocument/2006/relationships/hyperlink" Target="http://www.screener.in/company/SYNGENE/" TargetMode="External"/><Relationship Id="rId13" Type="http://schemas.openxmlformats.org/officeDocument/2006/relationships/hyperlink" Target="http://www.screener.in/company/DABUR/consolidated" TargetMode="External"/><Relationship Id="rId18" Type="http://schemas.openxmlformats.org/officeDocument/2006/relationships/hyperlink" Target="https://www.screener.in/company/ACCELYA/consolidated/" TargetMode="External"/><Relationship Id="rId39" Type="http://schemas.openxmlformats.org/officeDocument/2006/relationships/hyperlink" Target="https://www.screener.in/company/CYIENT/consolidated/" TargetMode="External"/><Relationship Id="rId109" Type="http://schemas.openxmlformats.org/officeDocument/2006/relationships/hyperlink" Target="https://www.screener.in/company/524731/" TargetMode="External"/><Relationship Id="rId34" Type="http://schemas.openxmlformats.org/officeDocument/2006/relationships/hyperlink" Target="https://www.screener.in/company/CENTURYPLY/consolidated/" TargetMode="External"/><Relationship Id="rId50" Type="http://schemas.openxmlformats.org/officeDocument/2006/relationships/hyperlink" Target="https://www.screener.in/company/GABRIEL/" TargetMode="External"/><Relationship Id="rId55" Type="http://schemas.openxmlformats.org/officeDocument/2006/relationships/hyperlink" Target="https://www.screener.in/company/HONAUT/" TargetMode="External"/><Relationship Id="rId76" Type="http://schemas.openxmlformats.org/officeDocument/2006/relationships/hyperlink" Target="https://www.screener.in/company/POLYMED/consolidated/" TargetMode="External"/><Relationship Id="rId97" Type="http://schemas.openxmlformats.org/officeDocument/2006/relationships/hyperlink" Target="https://www.screener.in/company/HINDUNILVR/consolidated/" TargetMode="External"/><Relationship Id="rId104" Type="http://schemas.openxmlformats.org/officeDocument/2006/relationships/hyperlink" Target="https://www.screener.in/company/TCS/consolidated/" TargetMode="External"/><Relationship Id="rId7" Type="http://schemas.openxmlformats.org/officeDocument/2006/relationships/hyperlink" Target="http://www.screener.in/company/SFL/consolidated" TargetMode="External"/><Relationship Id="rId71" Type="http://schemas.openxmlformats.org/officeDocument/2006/relationships/hyperlink" Target="https://www.screener.in/company/ORIENTREF/" TargetMode="External"/><Relationship Id="rId92" Type="http://schemas.openxmlformats.org/officeDocument/2006/relationships/hyperlink" Target="https://www.screener.in/company/ZYDUSWELL/consolidated/"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7.bin"/><Relationship Id="rId1" Type="http://schemas.openxmlformats.org/officeDocument/2006/relationships/hyperlink" Target="http://www.screener.in/" TargetMode="External"/><Relationship Id="rId4" Type="http://schemas.openxmlformats.org/officeDocument/2006/relationships/table" Target="../tables/table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creener.in/excel/"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hyperlink" Target="http://www.screener.in/exce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investordiary.i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investordiary.in/" TargetMode="External"/><Relationship Id="rId1" Type="http://schemas.openxmlformats.org/officeDocument/2006/relationships/hyperlink" Target="https://www.youtube.com/watch?v=lUp-VVV5iUY"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investordiary.i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investordiary.in/" TargetMode="External"/><Relationship Id="rId1" Type="http://schemas.openxmlformats.org/officeDocument/2006/relationships/hyperlink" Target="https://www.youtube.com/watch?v=8qRztomH8uY"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investordiary.in/"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investordiary.in/" TargetMode="External"/><Relationship Id="rId1" Type="http://schemas.openxmlformats.org/officeDocument/2006/relationships/hyperlink" Target="https://www.youtube.com/watch?v=8qRztomH8uY"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investordiary.in/" TargetMode="External"/><Relationship Id="rId1" Type="http://schemas.openxmlformats.org/officeDocument/2006/relationships/hyperlink" Target="https://www.youtube.com/watch?v=d3anvaNEKFQ"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tabSelected="1" workbookViewId="0"/>
  </sheetViews>
  <sheetFormatPr defaultRowHeight="15" x14ac:dyDescent="0.25"/>
  <cols>
    <col min="1" max="1" width="118.7109375" customWidth="1"/>
    <col min="4" max="4" width="8.140625" customWidth="1"/>
    <col min="5" max="5" width="10.140625" customWidth="1"/>
    <col min="6" max="6" width="9.140625" customWidth="1"/>
  </cols>
  <sheetData>
    <row r="1" spans="1:13" ht="34.5" customHeight="1" thickTop="1" thickBot="1" x14ac:dyDescent="0.3">
      <c r="A1" s="715" t="s">
        <v>540</v>
      </c>
      <c r="D1" s="2"/>
      <c r="E1" s="822"/>
      <c r="F1" s="822"/>
      <c r="G1" s="822"/>
      <c r="H1" s="2"/>
      <c r="I1" s="2"/>
      <c r="J1" s="2"/>
      <c r="K1" s="2"/>
      <c r="L1" s="2"/>
      <c r="M1" s="2"/>
    </row>
    <row r="2" spans="1:13" ht="27" customHeight="1" thickTop="1" x14ac:dyDescent="0.35">
      <c r="A2" s="813" t="s">
        <v>181</v>
      </c>
      <c r="B2" s="72"/>
      <c r="C2" s="72"/>
      <c r="D2" s="72"/>
      <c r="E2" s="540"/>
      <c r="F2" s="540"/>
      <c r="G2" s="541"/>
      <c r="H2" s="72"/>
      <c r="I2" s="72"/>
      <c r="J2" s="72"/>
      <c r="K2" s="72"/>
      <c r="L2" s="72"/>
      <c r="M2" s="72"/>
    </row>
    <row r="3" spans="1:13" ht="19.5" customHeight="1" thickBot="1" x14ac:dyDescent="0.3">
      <c r="A3" s="73"/>
      <c r="E3" s="566"/>
      <c r="F3" s="276"/>
      <c r="G3" s="276"/>
    </row>
    <row r="4" spans="1:13" ht="27.75" thickTop="1" thickBot="1" x14ac:dyDescent="0.3">
      <c r="A4" s="105" t="s">
        <v>182</v>
      </c>
      <c r="B4" s="74"/>
      <c r="C4" s="74"/>
      <c r="D4" s="74"/>
      <c r="E4" s="568"/>
      <c r="F4" s="276"/>
      <c r="G4" s="276"/>
      <c r="I4" s="74"/>
      <c r="J4" s="74"/>
      <c r="K4" s="74"/>
      <c r="L4" s="74"/>
      <c r="M4" s="74"/>
    </row>
    <row r="5" spans="1:13" ht="14.25" customHeight="1" thickTop="1" thickBot="1" x14ac:dyDescent="0.3">
      <c r="A5" s="104"/>
      <c r="C5" s="74"/>
      <c r="D5" s="74"/>
      <c r="F5" s="276"/>
      <c r="G5" s="540"/>
      <c r="H5" s="74"/>
    </row>
    <row r="6" spans="1:13" ht="16.5" customHeight="1" thickTop="1" thickBot="1" x14ac:dyDescent="0.3">
      <c r="A6" s="342" t="s">
        <v>326</v>
      </c>
      <c r="C6" s="74"/>
      <c r="D6" s="74"/>
      <c r="E6" s="823"/>
      <c r="F6" s="823"/>
      <c r="G6" s="823"/>
      <c r="H6" s="823"/>
      <c r="I6" s="823"/>
    </row>
    <row r="7" spans="1:13" ht="34.5" customHeight="1" thickTop="1" thickBot="1" x14ac:dyDescent="0.3">
      <c r="A7" s="814" t="s">
        <v>655</v>
      </c>
      <c r="C7" s="74"/>
      <c r="D7" s="74"/>
      <c r="E7" s="823"/>
      <c r="F7" s="823"/>
      <c r="G7" s="823"/>
      <c r="H7" s="823"/>
      <c r="I7" s="823"/>
    </row>
    <row r="8" spans="1:13" s="75" customFormat="1" ht="48" customHeight="1" thickTop="1" thickBot="1" x14ac:dyDescent="0.3">
      <c r="A8" s="78" t="s">
        <v>183</v>
      </c>
      <c r="D8" s="74"/>
      <c r="E8" s="567"/>
      <c r="G8" s="74"/>
      <c r="H8" s="74"/>
    </row>
    <row r="9" spans="1:13" ht="46.5" thickTop="1" thickBot="1" x14ac:dyDescent="0.3">
      <c r="A9" s="79" t="s">
        <v>184</v>
      </c>
      <c r="D9" s="74"/>
      <c r="E9" s="74"/>
      <c r="F9" s="74"/>
      <c r="G9" s="74"/>
      <c r="H9" s="74"/>
    </row>
    <row r="10" spans="1:13" ht="16.5" customHeight="1" thickTop="1" thickBot="1" x14ac:dyDescent="0.3">
      <c r="C10" s="824" t="s">
        <v>412</v>
      </c>
      <c r="D10" s="824"/>
      <c r="E10" s="824"/>
      <c r="F10" s="824"/>
      <c r="G10" s="74"/>
      <c r="H10" s="74"/>
    </row>
    <row r="11" spans="1:13" ht="22.5" thickTop="1" thickBot="1" x14ac:dyDescent="0.4">
      <c r="A11" s="106" t="s">
        <v>185</v>
      </c>
      <c r="C11" s="824"/>
      <c r="D11" s="824"/>
      <c r="E11" s="824"/>
      <c r="F11" s="824"/>
      <c r="G11" s="74"/>
      <c r="H11" s="74"/>
    </row>
    <row r="12" spans="1:13" ht="16.5" thickTop="1" thickBot="1" x14ac:dyDescent="0.3">
      <c r="A12" s="77" t="s">
        <v>528</v>
      </c>
    </row>
    <row r="13" spans="1:13" ht="31.5" thickTop="1" thickBot="1" x14ac:dyDescent="0.3">
      <c r="A13" s="77" t="s">
        <v>529</v>
      </c>
    </row>
    <row r="14" spans="1:13" ht="31.5" thickTop="1" thickBot="1" x14ac:dyDescent="0.3">
      <c r="A14" s="77" t="s">
        <v>530</v>
      </c>
    </row>
    <row r="15" spans="1:13" ht="46.5" thickTop="1" thickBot="1" x14ac:dyDescent="0.3">
      <c r="A15" s="77" t="s">
        <v>531</v>
      </c>
    </row>
    <row r="16" spans="1:13" ht="31.5" thickTop="1" thickBot="1" x14ac:dyDescent="0.3">
      <c r="A16" s="77" t="s">
        <v>532</v>
      </c>
    </row>
    <row r="17" spans="1:1" ht="16.5" thickTop="1" thickBot="1" x14ac:dyDescent="0.3">
      <c r="A17" s="79" t="s">
        <v>533</v>
      </c>
    </row>
    <row r="18" spans="1:1" ht="15.75" thickTop="1" x14ac:dyDescent="0.25"/>
    <row r="19" spans="1:1" x14ac:dyDescent="0.25">
      <c r="A19" s="76" t="s">
        <v>176</v>
      </c>
    </row>
  </sheetData>
  <mergeCells count="3">
    <mergeCell ref="E1:G1"/>
    <mergeCell ref="E6:I7"/>
    <mergeCell ref="C10:F11"/>
  </mergeCells>
  <hyperlinks>
    <hyperlink ref="A6" r:id="rId1"/>
    <hyperlink ref="A2" r:id="rId2"/>
    <hyperlink ref="C10:F11" r:id="rId3" display="click here for the explanation"/>
  </hyperlinks>
  <pageMargins left="0.7" right="0.7" top="0.75" bottom="0.75" header="0.3" footer="0.3"/>
  <pageSetup orientation="landscape"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9"/>
  <sheetViews>
    <sheetView showGridLines="0" zoomScale="135" zoomScaleNormal="135" workbookViewId="0">
      <selection sqref="A1:K1"/>
    </sheetView>
  </sheetViews>
  <sheetFormatPr defaultColWidth="8.7109375" defaultRowHeight="12.75" x14ac:dyDescent="0.2"/>
  <cols>
    <col min="1" max="1" width="21.140625" style="8" bestFit="1" customWidth="1"/>
    <col min="2" max="11" width="7.140625" style="8" bestFit="1" customWidth="1"/>
    <col min="12" max="12" width="7.28515625" style="8" customWidth="1"/>
    <col min="13" max="16384" width="8.7109375" style="8"/>
  </cols>
  <sheetData>
    <row r="1" spans="1:22" ht="16.5" thickBot="1" x14ac:dyDescent="0.3">
      <c r="A1" s="949" t="s">
        <v>315</v>
      </c>
      <c r="B1" s="950"/>
      <c r="C1" s="950"/>
      <c r="D1" s="950"/>
      <c r="E1" s="950"/>
      <c r="F1" s="950"/>
      <c r="G1" s="950"/>
      <c r="H1" s="950"/>
      <c r="I1" s="950"/>
      <c r="J1" s="950"/>
      <c r="K1" s="951"/>
      <c r="L1" s="535" t="s">
        <v>341</v>
      </c>
      <c r="M1" s="286"/>
      <c r="N1" s="13"/>
      <c r="O1" s="286"/>
    </row>
    <row r="2" spans="1:22" ht="15.75" thickBot="1" x14ac:dyDescent="0.3">
      <c r="A2" s="193" t="s">
        <v>148</v>
      </c>
      <c r="B2" s="188">
        <f>'Income statement'!B2</f>
        <v>40633</v>
      </c>
      <c r="C2" s="188">
        <f>'Income statement'!C2</f>
        <v>40999</v>
      </c>
      <c r="D2" s="188">
        <f>'Income statement'!D2</f>
        <v>41364</v>
      </c>
      <c r="E2" s="188">
        <f>'Income statement'!E2</f>
        <v>41729</v>
      </c>
      <c r="F2" s="188">
        <f>'Income statement'!F2</f>
        <v>42094</v>
      </c>
      <c r="G2" s="188">
        <f>'Income statement'!G2</f>
        <v>42460</v>
      </c>
      <c r="H2" s="188">
        <f>'Income statement'!H2</f>
        <v>42825</v>
      </c>
      <c r="I2" s="188">
        <f>'Income statement'!I2</f>
        <v>43190</v>
      </c>
      <c r="J2" s="188">
        <f>'Income statement'!J2</f>
        <v>43555</v>
      </c>
      <c r="K2" s="188">
        <f>'Income statement'!K2</f>
        <v>43921</v>
      </c>
      <c r="L2" s="536" t="s">
        <v>342</v>
      </c>
      <c r="M2" s="293" t="s">
        <v>218</v>
      </c>
      <c r="N2" s="343" t="s">
        <v>219</v>
      </c>
      <c r="O2" s="343" t="s">
        <v>220</v>
      </c>
      <c r="R2" s="993" t="s">
        <v>170</v>
      </c>
      <c r="S2" s="994"/>
      <c r="T2" s="994"/>
      <c r="U2" s="994"/>
      <c r="V2" s="995"/>
    </row>
    <row r="3" spans="1:22" ht="12.75" customHeight="1" x14ac:dyDescent="0.25">
      <c r="A3" s="103" t="s">
        <v>4</v>
      </c>
      <c r="B3" s="28">
        <v>1</v>
      </c>
      <c r="C3" s="28">
        <v>1</v>
      </c>
      <c r="D3" s="28">
        <v>1</v>
      </c>
      <c r="E3" s="28">
        <v>1</v>
      </c>
      <c r="F3" s="28">
        <v>1</v>
      </c>
      <c r="G3" s="28">
        <v>1</v>
      </c>
      <c r="H3" s="28">
        <v>1</v>
      </c>
      <c r="I3" s="28">
        <v>1</v>
      </c>
      <c r="J3" s="28">
        <v>1</v>
      </c>
      <c r="K3" s="49">
        <v>1</v>
      </c>
      <c r="M3" s="297">
        <f t="shared" ref="M3:M18" si="0">AVERAGE(B3:K3)</f>
        <v>1</v>
      </c>
      <c r="N3" s="297">
        <f t="shared" ref="N3:N18" si="1">MIN(B3:K3)</f>
        <v>1</v>
      </c>
      <c r="O3" s="297">
        <f t="shared" ref="O3:O18" si="2">MAX(B3:K3)</f>
        <v>1</v>
      </c>
      <c r="R3" s="996"/>
      <c r="S3" s="997"/>
      <c r="T3" s="997"/>
      <c r="U3" s="997"/>
      <c r="V3" s="998"/>
    </row>
    <row r="4" spans="1:22" ht="15" x14ac:dyDescent="0.25">
      <c r="A4" s="103" t="s">
        <v>66</v>
      </c>
      <c r="B4" s="22">
        <f>'Data Sheet'!B18/'Data Sheet'!B$17</f>
        <v>0.84221633294071463</v>
      </c>
      <c r="C4" s="22">
        <f>'Data Sheet'!C18/'Data Sheet'!C$17</f>
        <v>0.7181329014732003</v>
      </c>
      <c r="D4" s="22">
        <f>'Data Sheet'!D18/'Data Sheet'!D$17</f>
        <v>0.82437373269682113</v>
      </c>
      <c r="E4" s="22">
        <f>'Data Sheet'!E18/'Data Sheet'!E$17</f>
        <v>0.80711992462978033</v>
      </c>
      <c r="F4" s="22">
        <f>'Data Sheet'!F18/'Data Sheet'!F$17</f>
        <v>0.80944605390220337</v>
      </c>
      <c r="G4" s="22">
        <f>'Data Sheet'!G18/'Data Sheet'!G$17</f>
        <v>0.7972686687472873</v>
      </c>
      <c r="H4" s="22">
        <f>'Data Sheet'!H18/'Data Sheet'!H$17</f>
        <v>0.80303852829409661</v>
      </c>
      <c r="I4" s="22">
        <f>'Data Sheet'!I18/'Data Sheet'!I$17</f>
        <v>0.73246485307553999</v>
      </c>
      <c r="J4" s="22">
        <f>'Data Sheet'!J18/'Data Sheet'!J$17</f>
        <v>0.78565161793461735</v>
      </c>
      <c r="K4" s="48">
        <f>'Data Sheet'!K18/'Data Sheet'!K$17</f>
        <v>0.80173450716717409</v>
      </c>
      <c r="M4" s="297">
        <f t="shared" si="0"/>
        <v>0.79214471208614357</v>
      </c>
      <c r="N4" s="297">
        <f t="shared" si="1"/>
        <v>0.7181329014732003</v>
      </c>
      <c r="O4" s="297">
        <f t="shared" si="2"/>
        <v>0.84221633294071463</v>
      </c>
      <c r="R4" s="996"/>
      <c r="S4" s="997"/>
      <c r="T4" s="997"/>
      <c r="U4" s="997"/>
      <c r="V4" s="998"/>
    </row>
    <row r="5" spans="1:22" ht="15" x14ac:dyDescent="0.25">
      <c r="A5" s="103" t="s">
        <v>67</v>
      </c>
      <c r="B5" s="22">
        <f>'Data Sheet'!B19/'Data Sheet'!B$17</f>
        <v>4.623085983510012E-2</v>
      </c>
      <c r="C5" s="22">
        <f>'Data Sheet'!C19/'Data Sheet'!C$17</f>
        <v>-1.0892278758750392E-2</v>
      </c>
      <c r="D5" s="22">
        <f>'Data Sheet'!D19/'Data Sheet'!D$17</f>
        <v>3.0910223045359474E-2</v>
      </c>
      <c r="E5" s="22">
        <f>'Data Sheet'!E19/'Data Sheet'!E$17</f>
        <v>1.1552498467899056E-2</v>
      </c>
      <c r="F5" s="22">
        <f>'Data Sheet'!F19/'Data Sheet'!F$17</f>
        <v>8.778860503906593E-3</v>
      </c>
      <c r="G5" s="22">
        <f>'Data Sheet'!G19/'Data Sheet'!G$17</f>
        <v>7.2649484323006018E-3</v>
      </c>
      <c r="H5" s="22">
        <f>'Data Sheet'!H19/'Data Sheet'!H$17</f>
        <v>1.1232003180744264E-2</v>
      </c>
      <c r="I5" s="22">
        <f>'Data Sheet'!I19/'Data Sheet'!I$17</f>
        <v>2.2252350496625304E-2</v>
      </c>
      <c r="J5" s="22">
        <f>'Data Sheet'!J19/'Data Sheet'!J$17</f>
        <v>9.3182482840087387E-4</v>
      </c>
      <c r="K5" s="48">
        <f>'Data Sheet'!K19/'Data Sheet'!K$17</f>
        <v>8.5534676778550242E-3</v>
      </c>
      <c r="M5" s="297">
        <f t="shared" si="0"/>
        <v>1.3681475770944094E-2</v>
      </c>
      <c r="N5" s="297">
        <f t="shared" si="1"/>
        <v>-1.0892278758750392E-2</v>
      </c>
      <c r="O5" s="297">
        <f t="shared" si="2"/>
        <v>4.623085983510012E-2</v>
      </c>
      <c r="R5" s="996"/>
      <c r="S5" s="997"/>
      <c r="T5" s="997"/>
      <c r="U5" s="997"/>
      <c r="V5" s="998"/>
    </row>
    <row r="6" spans="1:22" ht="15" x14ac:dyDescent="0.25">
      <c r="A6" s="103" t="s">
        <v>68</v>
      </c>
      <c r="B6" s="22">
        <f>'Data Sheet'!B20/'Data Sheet'!B$17</f>
        <v>3.459952885747939E-2</v>
      </c>
      <c r="C6" s="22">
        <f>'Data Sheet'!C20/'Data Sheet'!C$17</f>
        <v>2.834082123080138E-2</v>
      </c>
      <c r="D6" s="22">
        <f>'Data Sheet'!D20/'Data Sheet'!D$17</f>
        <v>3.0527038462152538E-2</v>
      </c>
      <c r="E6" s="22">
        <f>'Data Sheet'!E20/'Data Sheet'!E$17</f>
        <v>2.4138593394129538E-2</v>
      </c>
      <c r="F6" s="22">
        <f>'Data Sheet'!F20/'Data Sheet'!F$17</f>
        <v>1.687296988850847E-2</v>
      </c>
      <c r="G6" s="22">
        <f>'Data Sheet'!G20/'Data Sheet'!G$17</f>
        <v>1.3243287931711551E-2</v>
      </c>
      <c r="H6" s="22">
        <f>'Data Sheet'!H20/'Data Sheet'!H$17</f>
        <v>1.286442842178504E-2</v>
      </c>
      <c r="I6" s="22">
        <f>'Data Sheet'!I20/'Data Sheet'!I$17</f>
        <v>1.4545079430575614E-2</v>
      </c>
      <c r="J6" s="22">
        <f>'Data Sheet'!J20/'Data Sheet'!J$17</f>
        <v>1.5370808938637183E-2</v>
      </c>
      <c r="K6" s="48">
        <f>'Data Sheet'!K20/'Data Sheet'!K$17</f>
        <v>1.4412107044704019E-2</v>
      </c>
      <c r="M6" s="297">
        <f t="shared" si="0"/>
        <v>2.0491466360048474E-2</v>
      </c>
      <c r="N6" s="297">
        <f t="shared" si="1"/>
        <v>1.286442842178504E-2</v>
      </c>
      <c r="O6" s="297">
        <f t="shared" si="2"/>
        <v>3.459952885747939E-2</v>
      </c>
      <c r="R6" s="996"/>
      <c r="S6" s="997"/>
      <c r="T6" s="997"/>
      <c r="U6" s="997"/>
      <c r="V6" s="998"/>
    </row>
    <row r="7" spans="1:22" ht="15" x14ac:dyDescent="0.25">
      <c r="A7" s="103" t="s">
        <v>69</v>
      </c>
      <c r="B7" s="22">
        <f>'Data Sheet'!B21/'Data Sheet'!B$17</f>
        <v>4.5053003533568906E-2</v>
      </c>
      <c r="C7" s="22">
        <f>'Data Sheet'!C21/'Data Sheet'!C$17</f>
        <v>2.3691359314596178E-2</v>
      </c>
      <c r="D7" s="22">
        <f>'Data Sheet'!D21/'Data Sheet'!D$17</f>
        <v>2.2208739801701977E-2</v>
      </c>
      <c r="E7" s="22">
        <f>'Data Sheet'!E21/'Data Sheet'!E$17</f>
        <v>1.8677911220467042E-2</v>
      </c>
      <c r="F7" s="22">
        <f>'Data Sheet'!F21/'Data Sheet'!F$17</f>
        <v>2.0226494601000792E-2</v>
      </c>
      <c r="G7" s="22">
        <f>'Data Sheet'!G21/'Data Sheet'!G$17</f>
        <v>1.801769216460327E-2</v>
      </c>
      <c r="H7" s="22">
        <f>'Data Sheet'!H21/'Data Sheet'!H$17</f>
        <v>1.7643190837009794E-2</v>
      </c>
      <c r="I7" s="22">
        <f>'Data Sheet'!I21/'Data Sheet'!I$17</f>
        <v>2.4769371334256832E-2</v>
      </c>
      <c r="J7" s="22">
        <f>'Data Sheet'!J21/'Data Sheet'!J$17</f>
        <v>3.2694149286938971E-2</v>
      </c>
      <c r="K7" s="48">
        <f>'Data Sheet'!K21/'Data Sheet'!K$17</f>
        <v>3.1924846122630482E-2</v>
      </c>
      <c r="M7" s="297">
        <f t="shared" si="0"/>
        <v>2.5490675821677428E-2</v>
      </c>
      <c r="N7" s="297">
        <f t="shared" si="1"/>
        <v>1.7643190837009794E-2</v>
      </c>
      <c r="O7" s="297">
        <f t="shared" si="2"/>
        <v>4.5053003533568906E-2</v>
      </c>
      <c r="R7" s="996"/>
      <c r="S7" s="997"/>
      <c r="T7" s="997"/>
      <c r="U7" s="997"/>
      <c r="V7" s="998"/>
    </row>
    <row r="8" spans="1:22" ht="15" x14ac:dyDescent="0.25">
      <c r="A8" s="103" t="s">
        <v>70</v>
      </c>
      <c r="B8" s="22">
        <f>'Data Sheet'!B22/'Data Sheet'!B$17</f>
        <v>3.6660777385159014E-2</v>
      </c>
      <c r="C8" s="22">
        <f>'Data Sheet'!C22/'Data Sheet'!C$17</f>
        <v>4.1374986939713719E-2</v>
      </c>
      <c r="D8" s="22">
        <f>'Data Sheet'!D22/'Data Sheet'!D$17</f>
        <v>3.4550476585825364E-2</v>
      </c>
      <c r="E8" s="22">
        <f>'Data Sheet'!E22/'Data Sheet'!E$17</f>
        <v>3.223357450584028E-2</v>
      </c>
      <c r="F8" s="22">
        <f>'Data Sheet'!F22/'Data Sheet'!F$17</f>
        <v>2.7905071255084422E-2</v>
      </c>
      <c r="G8" s="22">
        <f>'Data Sheet'!G22/'Data Sheet'!G$17</f>
        <v>3.0082880350536346E-2</v>
      </c>
      <c r="H8" s="22">
        <f>'Data Sheet'!H22/'Data Sheet'!H$17</f>
        <v>2.7965317653895268E-2</v>
      </c>
      <c r="I8" s="22">
        <f>'Data Sheet'!I22/'Data Sheet'!I$17</f>
        <v>3.2706534233251788E-2</v>
      </c>
      <c r="J8" s="22">
        <f>'Data Sheet'!J22/'Data Sheet'!J$17</f>
        <v>2.8834960920700269E-2</v>
      </c>
      <c r="K8" s="48">
        <f>'Data Sheet'!K22/'Data Sheet'!K$17</f>
        <v>2.7682131757421714E-2</v>
      </c>
      <c r="M8" s="297">
        <f t="shared" si="0"/>
        <v>3.1999671158742818E-2</v>
      </c>
      <c r="N8" s="297">
        <f t="shared" si="1"/>
        <v>2.7682131757421714E-2</v>
      </c>
      <c r="O8" s="297">
        <f t="shared" si="2"/>
        <v>4.1374986939713719E-2</v>
      </c>
      <c r="R8" s="996"/>
      <c r="S8" s="997"/>
      <c r="T8" s="997"/>
      <c r="U8" s="997"/>
      <c r="V8" s="998"/>
    </row>
    <row r="9" spans="1:22" ht="15" x14ac:dyDescent="0.25">
      <c r="A9" s="103" t="s">
        <v>85</v>
      </c>
      <c r="B9" s="22">
        <f>'Data Sheet'!B23/'Data Sheet'!B$17</f>
        <v>6.6597958382410685E-2</v>
      </c>
      <c r="C9" s="22">
        <f>'Data Sheet'!C23/'Data Sheet'!C$17</f>
        <v>6.9297879009507901E-2</v>
      </c>
      <c r="D9" s="22">
        <f>'Data Sheet'!D23/'Data Sheet'!D$17</f>
        <v>6.9069021123050148E-2</v>
      </c>
      <c r="E9" s="22">
        <f>'Data Sheet'!E23/'Data Sheet'!E$17</f>
        <v>6.0716931773486874E-2</v>
      </c>
      <c r="F9" s="22">
        <f>'Data Sheet'!F23/'Data Sheet'!F$17</f>
        <v>6.8258566704708395E-2</v>
      </c>
      <c r="G9" s="22">
        <f>'Data Sheet'!G23/'Data Sheet'!G$17</f>
        <v>6.8784490420188915E-2</v>
      </c>
      <c r="H9" s="22">
        <f>'Data Sheet'!H23/'Data Sheet'!H$17</f>
        <v>1.9539403763370978E-2</v>
      </c>
      <c r="I9" s="22">
        <f>'Data Sheet'!I23/'Data Sheet'!I$17</f>
        <v>1.2873942644935011E-2</v>
      </c>
      <c r="J9" s="22">
        <f>'Data Sheet'!J23/'Data Sheet'!J$17</f>
        <v>1.5554306750999202E-2</v>
      </c>
      <c r="K9" s="48">
        <f>'Data Sheet'!K23/'Data Sheet'!K$17</f>
        <v>1.5860364640159014E-2</v>
      </c>
      <c r="M9" s="297">
        <f t="shared" si="0"/>
        <v>4.6655286521281709E-2</v>
      </c>
      <c r="N9" s="297">
        <f t="shared" si="1"/>
        <v>1.2873942644935011E-2</v>
      </c>
      <c r="O9" s="297">
        <f t="shared" si="2"/>
        <v>6.9297879009507901E-2</v>
      </c>
      <c r="R9" s="996"/>
      <c r="S9" s="997"/>
      <c r="T9" s="997"/>
      <c r="U9" s="997"/>
      <c r="V9" s="998"/>
    </row>
    <row r="10" spans="1:22" ht="15.75" thickBot="1" x14ac:dyDescent="0.3">
      <c r="A10" s="362" t="s">
        <v>72</v>
      </c>
      <c r="B10" s="363">
        <f>'Data Sheet'!B24/'Data Sheet'!B$17</f>
        <v>-2.213388299960738E-2</v>
      </c>
      <c r="C10" s="363">
        <f>'Data Sheet'!C24/'Data Sheet'!C$17</f>
        <v>-9.8474558562323695E-3</v>
      </c>
      <c r="D10" s="363">
        <f>'Data Sheet'!D24/'Data Sheet'!D$17</f>
        <v>-3.0383344243449937E-2</v>
      </c>
      <c r="E10" s="363">
        <f>'Data Sheet'!E24/'Data Sheet'!E$17</f>
        <v>-3.3248877221546375E-2</v>
      </c>
      <c r="F10" s="363">
        <f>'Data Sheet'!F24/'Data Sheet'!F$17</f>
        <v>-4.0616861264741171E-2</v>
      </c>
      <c r="G10" s="363">
        <f>'Data Sheet'!G24/'Data Sheet'!G$17</f>
        <v>-3.9130479713949118E-2</v>
      </c>
      <c r="H10" s="363">
        <f>'Data Sheet'!H24/'Data Sheet'!H$17</f>
        <v>3.1730982437092378E-3</v>
      </c>
      <c r="I10" s="363">
        <f>'Data Sheet'!I24/'Data Sheet'!I$17</f>
        <v>3.3894308703469006E-3</v>
      </c>
      <c r="J10" s="363">
        <f>'Data Sheet'!J24/'Data Sheet'!J$17</f>
        <v>5.407451158043225E-3</v>
      </c>
      <c r="K10" s="379">
        <f>'Data Sheet'!K24/'Data Sheet'!K$17</f>
        <v>6.0603262467529631E-3</v>
      </c>
      <c r="M10" s="297">
        <f t="shared" si="0"/>
        <v>-1.5733059478067406E-2</v>
      </c>
      <c r="N10" s="297">
        <f t="shared" si="1"/>
        <v>-4.0616861264741171E-2</v>
      </c>
      <c r="O10" s="297">
        <f t="shared" si="2"/>
        <v>6.0603262467529631E-3</v>
      </c>
      <c r="R10" s="999"/>
      <c r="S10" s="1000"/>
      <c r="T10" s="1000"/>
      <c r="U10" s="1000"/>
      <c r="V10" s="1001"/>
    </row>
    <row r="11" spans="1:22" ht="15.75" thickBot="1" x14ac:dyDescent="0.3">
      <c r="A11" s="368" t="s">
        <v>6</v>
      </c>
      <c r="B11" s="428">
        <f>('Data Sheet'!B17-'Data Sheet'!B18-'Data Sheet'!B19-'Data Sheet'!B20-'Data Sheet'!B21-'Data Sheet'!B22-'Data Sheet'!B23-'Data Sheet'!B24)/'Data Sheet'!B$17</f>
        <v>-4.9224577934825403E-2</v>
      </c>
      <c r="C11" s="369">
        <f>('Data Sheet'!C17-'Data Sheet'!C18-'Data Sheet'!C19-'Data Sheet'!C20-'Data Sheet'!C21-'Data Sheet'!C22-'Data Sheet'!C23-'Data Sheet'!C24)/'Data Sheet'!C$17</f>
        <v>0.13990178664716324</v>
      </c>
      <c r="D11" s="369">
        <f>('Data Sheet'!D17-'Data Sheet'!D18-'Data Sheet'!D19-'Data Sheet'!D20-'Data Sheet'!D21-'Data Sheet'!D22-'Data Sheet'!D23-'Data Sheet'!D24)/'Data Sheet'!D$17</f>
        <v>1.8744112528539272E-2</v>
      </c>
      <c r="E11" s="369">
        <f>('Data Sheet'!E17-'Data Sheet'!E18-'Data Sheet'!E19-'Data Sheet'!E20-'Data Sheet'!E21-'Data Sheet'!E22-'Data Sheet'!E23-'Data Sheet'!E24)/'Data Sheet'!E$17</f>
        <v>7.8809443229943196E-2</v>
      </c>
      <c r="F11" s="369">
        <f>('Data Sheet'!F17-'Data Sheet'!F18-'Data Sheet'!F19-'Data Sheet'!F20-'Data Sheet'!F21-'Data Sheet'!F22-'Data Sheet'!F23-'Data Sheet'!F24)/'Data Sheet'!F$17</f>
        <v>8.9128844409329097E-2</v>
      </c>
      <c r="G11" s="369">
        <f>('Data Sheet'!G17-'Data Sheet'!G18-'Data Sheet'!G19-'Data Sheet'!G20-'Data Sheet'!G21-'Data Sheet'!G22-'Data Sheet'!G23-'Data Sheet'!G24)/'Data Sheet'!G$17</f>
        <v>0.10446851166732114</v>
      </c>
      <c r="H11" s="369">
        <f>('Data Sheet'!H17-'Data Sheet'!H18-'Data Sheet'!H19-'Data Sheet'!H20-'Data Sheet'!H21-'Data Sheet'!H22-'Data Sheet'!H23-'Data Sheet'!H24)/'Data Sheet'!H$17</f>
        <v>0.10454402960538887</v>
      </c>
      <c r="I11" s="369">
        <f>('Data Sheet'!I17-'Data Sheet'!I18-'Data Sheet'!I19-'Data Sheet'!I20-'Data Sheet'!I21-'Data Sheet'!I22-'Data Sheet'!I23-'Data Sheet'!I24)/'Data Sheet'!I$17</f>
        <v>0.15699843791446852</v>
      </c>
      <c r="J11" s="369">
        <f>('Data Sheet'!J17-'Data Sheet'!J18-'Data Sheet'!J19-'Data Sheet'!J20-'Data Sheet'!J21-'Data Sheet'!J22-'Data Sheet'!J23-'Data Sheet'!J24)/'Data Sheet'!J$17</f>
        <v>0.11555488018166293</v>
      </c>
      <c r="K11" s="370">
        <f>('Data Sheet'!K17-'Data Sheet'!K18-'Data Sheet'!K19-'Data Sheet'!K20-'Data Sheet'!K21-'Data Sheet'!K22-'Data Sheet'!K23-'Data Sheet'!K24)/'Data Sheet'!K$17</f>
        <v>9.377224934330268E-2</v>
      </c>
      <c r="M11" s="297">
        <f t="shared" si="0"/>
        <v>8.5269771759229354E-2</v>
      </c>
      <c r="N11" s="297">
        <f t="shared" si="1"/>
        <v>-4.9224577934825403E-2</v>
      </c>
      <c r="O11" s="297">
        <f t="shared" si="2"/>
        <v>0.15699843791446852</v>
      </c>
    </row>
    <row r="12" spans="1:22" ht="15" x14ac:dyDescent="0.25">
      <c r="A12" s="364" t="s">
        <v>7</v>
      </c>
      <c r="B12" s="365">
        <f>'Data Sheet'!B25/'Data Sheet'!B$17</f>
        <v>1.9532783667059288E-2</v>
      </c>
      <c r="C12" s="365">
        <f>'Data Sheet'!C25/'Data Sheet'!C$17</f>
        <v>7.4704837530038658E-3</v>
      </c>
      <c r="D12" s="365">
        <f>'Data Sheet'!D25/'Data Sheet'!D$17</f>
        <v>4.1192342694745584E-3</v>
      </c>
      <c r="E12" s="365">
        <f>'Data Sheet'!E25/'Data Sheet'!E$17</f>
        <v>3.3660486430616408E-3</v>
      </c>
      <c r="F12" s="365">
        <f>'Data Sheet'!F25/'Data Sheet'!F$17</f>
        <v>5.279021449682497E-3</v>
      </c>
      <c r="G12" s="365">
        <f>'Data Sheet'!G25/'Data Sheet'!G$17</f>
        <v>1.110410681437695E-2</v>
      </c>
      <c r="H12" s="365">
        <f>'Data Sheet'!H25/'Data Sheet'!H$17</f>
        <v>8.926728191639843E-3</v>
      </c>
      <c r="I12" s="365">
        <f>'Data Sheet'!I25/'Data Sheet'!I$17</f>
        <v>1.4550974092958824E-2</v>
      </c>
      <c r="J12" s="365">
        <f>'Data Sheet'!J25/'Data Sheet'!J$17</f>
        <v>1.6993617716713785E-2</v>
      </c>
      <c r="K12" s="366">
        <f>'Data Sheet'!K25/'Data Sheet'!K$17</f>
        <v>1.7167684415922087E-2</v>
      </c>
      <c r="M12" s="297">
        <f t="shared" si="0"/>
        <v>1.0851068301389336E-2</v>
      </c>
      <c r="N12" s="297">
        <f t="shared" si="1"/>
        <v>3.3660486430616408E-3</v>
      </c>
      <c r="O12" s="297">
        <f t="shared" si="2"/>
        <v>1.9532783667059288E-2</v>
      </c>
    </row>
    <row r="13" spans="1:22" ht="15" x14ac:dyDescent="0.25">
      <c r="A13" s="103" t="s">
        <v>8</v>
      </c>
      <c r="B13" s="22">
        <f>'Data Sheet'!B26/'Data Sheet'!B$17</f>
        <v>1.4232430310168825E-2</v>
      </c>
      <c r="C13" s="22">
        <f>'Data Sheet'!C26/'Data Sheet'!C$17</f>
        <v>1.0448229025180233E-2</v>
      </c>
      <c r="D13" s="22">
        <f>'Data Sheet'!D26/'Data Sheet'!D$17</f>
        <v>7.9510801015439149E-3</v>
      </c>
      <c r="E13" s="22">
        <f>'Data Sheet'!E26/'Data Sheet'!E$17</f>
        <v>5.0673667072177958E-3</v>
      </c>
      <c r="F13" s="22">
        <f>'Data Sheet'!F26/'Data Sheet'!F$17</f>
        <v>5.1502648289585345E-3</v>
      </c>
      <c r="G13" s="22">
        <f>'Data Sheet'!G26/'Data Sheet'!G$17</f>
        <v>5.2859475435586886E-3</v>
      </c>
      <c r="H13" s="22">
        <f>'Data Sheet'!H26/'Data Sheet'!H$17</f>
        <v>5.2337005971541516E-3</v>
      </c>
      <c r="I13" s="22">
        <f>'Data Sheet'!I26/'Data Sheet'!I$17</f>
        <v>7.0028589112558579E-3</v>
      </c>
      <c r="J13" s="22">
        <f>'Data Sheet'!J26/'Data Sheet'!J$17</f>
        <v>1.0275877492273022E-2</v>
      </c>
      <c r="K13" s="48">
        <f>'Data Sheet'!K26/'Data Sheet'!K$17</f>
        <v>9.1633882423838905E-3</v>
      </c>
      <c r="M13" s="297">
        <f t="shared" si="0"/>
        <v>7.9811143759694909E-3</v>
      </c>
      <c r="N13" s="297">
        <f t="shared" si="1"/>
        <v>5.0673667072177958E-3</v>
      </c>
      <c r="O13" s="297">
        <f t="shared" si="2"/>
        <v>1.4232430310168825E-2</v>
      </c>
    </row>
    <row r="14" spans="1:22" ht="15.75" thickBot="1" x14ac:dyDescent="0.3">
      <c r="A14" s="362" t="s">
        <v>9</v>
      </c>
      <c r="B14" s="363">
        <f>'Data Sheet'!B27/'Data Sheet'!B$17</f>
        <v>2.2575579112681585E-2</v>
      </c>
      <c r="C14" s="22">
        <f>'Data Sheet'!C27/'Data Sheet'!C$17</f>
        <v>1.0631073033120888E-2</v>
      </c>
      <c r="D14" s="22">
        <f>'Data Sheet'!D27/'Data Sheet'!D$17</f>
        <v>6.2586815257132814E-3</v>
      </c>
      <c r="E14" s="22">
        <f>'Data Sheet'!E27/'Data Sheet'!E$17</f>
        <v>4.0154765062610336E-3</v>
      </c>
      <c r="F14" s="22">
        <f>'Data Sheet'!F27/'Data Sheet'!F$17</f>
        <v>1.5626371696953734E-3</v>
      </c>
      <c r="G14" s="22">
        <f>'Data Sheet'!G27/'Data Sheet'!G$17</f>
        <v>1.7464812020751091E-3</v>
      </c>
      <c r="H14" s="22">
        <f>'Data Sheet'!H27/'Data Sheet'!H$17</f>
        <v>1.9650271051404192E-3</v>
      </c>
      <c r="I14" s="22">
        <f>'Data Sheet'!I27/'Data Sheet'!I$17</f>
        <v>1.4117716407792743E-3</v>
      </c>
      <c r="J14" s="22">
        <f>'Data Sheet'!J27/'Data Sheet'!J$17</f>
        <v>1.4077722792148588E-3</v>
      </c>
      <c r="K14" s="48">
        <f>'Data Sheet'!K27/'Data Sheet'!K$17</f>
        <v>1.0643235349149149E-3</v>
      </c>
      <c r="M14" s="297">
        <f t="shared" si="0"/>
        <v>5.2638823109596739E-3</v>
      </c>
      <c r="N14" s="297">
        <f t="shared" si="1"/>
        <v>1.0643235349149149E-3</v>
      </c>
      <c r="O14" s="297">
        <f t="shared" si="2"/>
        <v>2.2575579112681585E-2</v>
      </c>
    </row>
    <row r="15" spans="1:22" ht="15.75" thickBot="1" x14ac:dyDescent="0.3">
      <c r="A15" s="367" t="s">
        <v>141</v>
      </c>
      <c r="B15" s="429">
        <f>'Data Sheet'!B28/'Data Sheet'!B$17</f>
        <v>2.5961915979583826E-2</v>
      </c>
      <c r="C15" s="374">
        <f>'Data Sheet'!C28/'Data Sheet'!C$17</f>
        <v>0.10450841082436527</v>
      </c>
      <c r="D15" s="369">
        <f>'Data Sheet'!D28/'Data Sheet'!D$17</f>
        <v>7.047403126147557E-2</v>
      </c>
      <c r="E15" s="369">
        <f>'Data Sheet'!E28/'Data Sheet'!E$17</f>
        <v>9.6197645595324122E-2</v>
      </c>
      <c r="F15" s="369">
        <f>'Data Sheet'!F28/'Data Sheet'!F$17</f>
        <v>0.10525268486817077</v>
      </c>
      <c r="G15" s="369">
        <f>'Data Sheet'!G28/'Data Sheet'!G$17</f>
        <v>0.12307008660066553</v>
      </c>
      <c r="H15" s="369">
        <f>'Data Sheet'!H28/'Data Sheet'!H$17</f>
        <v>0.12873603645622272</v>
      </c>
      <c r="I15" s="369">
        <f>'Data Sheet'!I28/'Data Sheet'!I$17</f>
        <v>0.20763948244864275</v>
      </c>
      <c r="J15" s="369">
        <f>'Data Sheet'!J28/'Data Sheet'!J$17</f>
        <v>0.12272849778369048</v>
      </c>
      <c r="K15" s="370">
        <f>'Data Sheet'!K28/'Data Sheet'!K$17</f>
        <v>0.117819157337636</v>
      </c>
      <c r="M15" s="297">
        <f t="shared" si="0"/>
        <v>0.11023879491557768</v>
      </c>
      <c r="N15" s="297">
        <f t="shared" si="1"/>
        <v>2.5961915979583826E-2</v>
      </c>
      <c r="O15" s="297">
        <f t="shared" si="2"/>
        <v>0.20763948244864275</v>
      </c>
    </row>
    <row r="16" spans="1:22" ht="15.75" thickBot="1" x14ac:dyDescent="0.3">
      <c r="A16" s="375" t="s">
        <v>11</v>
      </c>
      <c r="B16" s="376">
        <f>'Data Sheet'!B29/'Data Sheet'!B$17</f>
        <v>8.6376128778955646E-3</v>
      </c>
      <c r="C16" s="22">
        <f>'Data Sheet'!C29/'Data Sheet'!C$17</f>
        <v>3.1240204785288897E-2</v>
      </c>
      <c r="D16" s="22">
        <f>'Data Sheet'!D29/'Data Sheet'!D$17</f>
        <v>2.2288569923203425E-2</v>
      </c>
      <c r="E16" s="22">
        <f>'Data Sheet'!E29/'Data Sheet'!E$17</f>
        <v>3.2398218189468295E-2</v>
      </c>
      <c r="F16" s="22">
        <f>'Data Sheet'!F29/'Data Sheet'!F$17</f>
        <v>3.702923360547801E-2</v>
      </c>
      <c r="G16" s="22">
        <f>'Data Sheet'!G29/'Data Sheet'!G$17</f>
        <v>4.0923464853357586E-2</v>
      </c>
      <c r="H16" s="22">
        <f>'Data Sheet'!H29/'Data Sheet'!H$17</f>
        <v>4.2217498681061581E-2</v>
      </c>
      <c r="I16" s="22">
        <f>'Data Sheet'!I29/'Data Sheet'!I$17</f>
        <v>7.015237702260603E-2</v>
      </c>
      <c r="J16" s="22">
        <f>'Data Sheet'!J29/'Data Sheet'!J$17</f>
        <v>3.4818709895692961E-2</v>
      </c>
      <c r="K16" s="48">
        <f>'Data Sheet'!K29/'Data Sheet'!K$17</f>
        <v>2.3952139460402547E-2</v>
      </c>
      <c r="M16" s="297">
        <f t="shared" si="0"/>
        <v>3.4365802929445487E-2</v>
      </c>
      <c r="N16" s="297">
        <f t="shared" si="1"/>
        <v>8.6376128778955646E-3</v>
      </c>
      <c r="O16" s="297">
        <f t="shared" si="2"/>
        <v>7.015237702260603E-2</v>
      </c>
    </row>
    <row r="17" spans="1:15" ht="15.75" thickBot="1" x14ac:dyDescent="0.3">
      <c r="A17" s="367" t="s">
        <v>142</v>
      </c>
      <c r="B17" s="429">
        <f>'Data Sheet'!B30/'Data Sheet'!B$17</f>
        <v>1.6686297605025522E-2</v>
      </c>
      <c r="C17" s="374">
        <f>'Data Sheet'!C30/'Data Sheet'!C$17</f>
        <v>7.3268206039076383E-2</v>
      </c>
      <c r="D17" s="369">
        <f>'Data Sheet'!D30/'Data Sheet'!D$17</f>
        <v>4.7977903022368401E-2</v>
      </c>
      <c r="E17" s="369">
        <f>'Data Sheet'!E30/'Data Sheet'!E$17</f>
        <v>6.4403120912491882E-2</v>
      </c>
      <c r="F17" s="369">
        <f>'Data Sheet'!F30/'Data Sheet'!F$17</f>
        <v>6.7843033974190142E-2</v>
      </c>
      <c r="G17" s="369">
        <f>'Data Sheet'!G30/'Data Sheet'!G$17</f>
        <v>8.1381890333381557E-2</v>
      </c>
      <c r="H17" s="369">
        <f>'Data Sheet'!H30/'Data Sheet'!H$17</f>
        <v>8.244703219738965E-2</v>
      </c>
      <c r="I17" s="369">
        <f>'Data Sheet'!I30/'Data Sheet'!I$17</f>
        <v>0.13158949571163311</v>
      </c>
      <c r="J17" s="369">
        <f>'Data Sheet'!J30/'Data Sheet'!J$17</f>
        <v>7.8453916244717259E-2</v>
      </c>
      <c r="K17" s="370">
        <f>'Data Sheet'!K30/'Data Sheet'!K$17</f>
        <v>8.4195767491476906E-2</v>
      </c>
      <c r="M17" s="297">
        <f t="shared" si="0"/>
        <v>7.2824666353175097E-2</v>
      </c>
      <c r="N17" s="297">
        <f t="shared" si="1"/>
        <v>1.6686297605025522E-2</v>
      </c>
      <c r="O17" s="297">
        <f t="shared" si="2"/>
        <v>0.13158949571163311</v>
      </c>
    </row>
    <row r="18" spans="1:15" ht="15.75" thickBot="1" x14ac:dyDescent="0.3">
      <c r="A18" s="377" t="s">
        <v>56</v>
      </c>
      <c r="B18" s="378">
        <f>'Data Sheet'!B31/'Data Sheet'!B$17</f>
        <v>3.9261876717707114E-3</v>
      </c>
      <c r="C18" s="50">
        <f>'Data Sheet'!C31/'Data Sheet'!C$17</f>
        <v>1.3582697732734303E-2</v>
      </c>
      <c r="D18" s="50">
        <f>'Data Sheet'!D31/'Data Sheet'!D$17</f>
        <v>9.4199543371705011E-3</v>
      </c>
      <c r="E18" s="50">
        <f>'Data Sheet'!E31/'Data Sheet'!E$17</f>
        <v>1.2458038727853137E-2</v>
      </c>
      <c r="F18" s="50">
        <f>'Data Sheet'!F31/'Data Sheet'!F$17</f>
        <v>1.4613876452169841E-2</v>
      </c>
      <c r="G18" s="50">
        <f>'Data Sheet'!G31/'Data Sheet'!G$17</f>
        <v>1.6421056982824547E-2</v>
      </c>
      <c r="H18" s="50">
        <f>'Data Sheet'!H31/'Data Sheet'!H$17</f>
        <v>1.562081858288668E-2</v>
      </c>
      <c r="I18" s="50">
        <f>'Data Sheet'!I31/'Data Sheet'!I$17</f>
        <v>1.6057060331869492E-2</v>
      </c>
      <c r="J18" s="50">
        <f>'Data Sheet'!J31/'Data Sheet'!J$17</f>
        <v>1.5620251277316801E-2</v>
      </c>
      <c r="K18" s="51">
        <f>'Data Sheet'!K31/'Data Sheet'!K$17</f>
        <v>1.6878518889312782E-2</v>
      </c>
      <c r="M18" s="297">
        <f t="shared" si="0"/>
        <v>1.3459846098590878E-2</v>
      </c>
      <c r="N18" s="297">
        <f t="shared" si="1"/>
        <v>3.9261876717707114E-3</v>
      </c>
      <c r="O18" s="297">
        <f t="shared" si="2"/>
        <v>1.6878518889312782E-2</v>
      </c>
    </row>
    <row r="19" spans="1:15" x14ac:dyDescent="0.2">
      <c r="M19" s="298"/>
      <c r="N19" s="298"/>
      <c r="O19" s="298"/>
    </row>
  </sheetData>
  <mergeCells count="2">
    <mergeCell ref="A1:K1"/>
    <mergeCell ref="R2:V10"/>
  </mergeCells>
  <conditionalFormatting sqref="C4:K10">
    <cfRule type="expression" dxfId="195" priority="17">
      <formula>C4&lt;B4</formula>
    </cfRule>
    <cfRule type="expression" dxfId="194" priority="18">
      <formula>C4&gt;B4</formula>
    </cfRule>
  </conditionalFormatting>
  <conditionalFormatting sqref="C11:K11 C15:K15 C17:K17">
    <cfRule type="expression" dxfId="193" priority="15">
      <formula>C11&lt;B11</formula>
    </cfRule>
    <cfRule type="expression" dxfId="192" priority="16">
      <formula>C11&gt;B11</formula>
    </cfRule>
  </conditionalFormatting>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showGridLines="0" workbookViewId="0">
      <selection sqref="A1:K1"/>
    </sheetView>
  </sheetViews>
  <sheetFormatPr defaultRowHeight="15" x14ac:dyDescent="0.25"/>
  <cols>
    <col min="1" max="1" width="31.140625" customWidth="1"/>
    <col min="3" max="4" width="9.28515625" bestFit="1" customWidth="1"/>
    <col min="5" max="5" width="7.5703125" bestFit="1" customWidth="1"/>
    <col min="6" max="11" width="9.28515625" bestFit="1" customWidth="1"/>
    <col min="12" max="12" width="6" customWidth="1"/>
    <col min="14" max="14" width="12" bestFit="1" customWidth="1"/>
    <col min="31" max="31" width="23.7109375" bestFit="1" customWidth="1"/>
  </cols>
  <sheetData>
    <row r="1" spans="1:41" ht="15.75" x14ac:dyDescent="0.25">
      <c r="A1" s="1022" t="str">
        <f>'Balance Sheet'!A2:K2</f>
        <v>AVANTI FEEDS LTD</v>
      </c>
      <c r="B1" s="1023"/>
      <c r="C1" s="1023"/>
      <c r="D1" s="1023"/>
      <c r="E1" s="1023"/>
      <c r="F1" s="1023"/>
      <c r="G1" s="1023"/>
      <c r="H1" s="1023"/>
      <c r="I1" s="1023"/>
      <c r="J1" s="1023"/>
      <c r="K1" s="1024"/>
      <c r="L1" s="328"/>
      <c r="N1" s="1028" t="str">
        <f>INSTRUCTIONS!A2</f>
        <v>http://www.investordiary.in/</v>
      </c>
      <c r="O1" s="1028"/>
      <c r="P1" s="1028"/>
      <c r="Q1" s="1028"/>
      <c r="AE1" s="1002" t="str">
        <f>A1</f>
        <v>AVANTI FEEDS LTD</v>
      </c>
      <c r="AF1" s="1002"/>
      <c r="AG1" s="1002"/>
      <c r="AH1" s="1002"/>
      <c r="AI1" s="1002"/>
      <c r="AJ1" s="1002"/>
      <c r="AK1" s="1002"/>
      <c r="AL1" s="1002"/>
      <c r="AM1" s="1002"/>
      <c r="AN1" s="1002"/>
      <c r="AO1" s="1002"/>
    </row>
    <row r="2" spans="1:41" ht="15.75" thickBot="1" x14ac:dyDescent="0.3">
      <c r="A2" s="348" t="s">
        <v>148</v>
      </c>
      <c r="B2" s="335">
        <f>'Balance Sheet'!B3</f>
        <v>40633</v>
      </c>
      <c r="C2" s="335">
        <f>'Balance Sheet'!C3</f>
        <v>40999</v>
      </c>
      <c r="D2" s="335">
        <f>'Balance Sheet'!D3</f>
        <v>41364</v>
      </c>
      <c r="E2" s="335">
        <f>'Balance Sheet'!E3</f>
        <v>41729</v>
      </c>
      <c r="F2" s="335">
        <f>'Balance Sheet'!F3</f>
        <v>42094</v>
      </c>
      <c r="G2" s="335">
        <f>'Balance Sheet'!G3</f>
        <v>42460</v>
      </c>
      <c r="H2" s="335">
        <f>'Balance Sheet'!H3</f>
        <v>42825</v>
      </c>
      <c r="I2" s="335">
        <f>'Balance Sheet'!I3</f>
        <v>43190</v>
      </c>
      <c r="J2" s="335">
        <f>'Balance Sheet'!J3</f>
        <v>43555</v>
      </c>
      <c r="K2" s="335">
        <f>'Balance Sheet'!K3</f>
        <v>43921</v>
      </c>
      <c r="AE2" s="334" t="s">
        <v>148</v>
      </c>
      <c r="AF2" s="335">
        <f>B2</f>
        <v>40633</v>
      </c>
      <c r="AG2" s="335">
        <f t="shared" ref="AG2:AO2" si="0">C2</f>
        <v>40999</v>
      </c>
      <c r="AH2" s="335">
        <f t="shared" si="0"/>
        <v>41364</v>
      </c>
      <c r="AI2" s="335">
        <f t="shared" si="0"/>
        <v>41729</v>
      </c>
      <c r="AJ2" s="335">
        <f t="shared" si="0"/>
        <v>42094</v>
      </c>
      <c r="AK2" s="335">
        <f t="shared" si="0"/>
        <v>42460</v>
      </c>
      <c r="AL2" s="335">
        <f t="shared" si="0"/>
        <v>42825</v>
      </c>
      <c r="AM2" s="335">
        <f t="shared" si="0"/>
        <v>43190</v>
      </c>
      <c r="AN2" s="335">
        <f t="shared" si="0"/>
        <v>43555</v>
      </c>
      <c r="AO2" s="335">
        <f t="shared" si="0"/>
        <v>43921</v>
      </c>
    </row>
    <row r="3" spans="1:41" x14ac:dyDescent="0.25">
      <c r="A3" s="282" t="str">
        <f>AE9</f>
        <v>Net Fixed Asset Turnover</v>
      </c>
      <c r="B3" s="330"/>
      <c r="C3" s="344">
        <f t="shared" ref="C3:K3" si="1">AG9</f>
        <v>10.958637469586373</v>
      </c>
      <c r="D3" s="344">
        <f t="shared" si="1"/>
        <v>13.334681711730893</v>
      </c>
      <c r="E3" s="344">
        <f t="shared" si="1"/>
        <v>17.034434403240883</v>
      </c>
      <c r="F3" s="344">
        <f t="shared" si="1"/>
        <v>20.453076370600911</v>
      </c>
      <c r="G3" s="344">
        <f t="shared" si="1"/>
        <v>19.997106840256251</v>
      </c>
      <c r="H3" s="344">
        <f t="shared" si="1"/>
        <v>19.781743931029268</v>
      </c>
      <c r="I3" s="344">
        <f t="shared" si="1"/>
        <v>14.358138845982946</v>
      </c>
      <c r="J3" s="344">
        <f t="shared" si="1"/>
        <v>11.536143681677611</v>
      </c>
      <c r="K3" s="351">
        <f t="shared" si="1"/>
        <v>14.608768193113242</v>
      </c>
      <c r="L3" s="354" t="s">
        <v>330</v>
      </c>
      <c r="AE3" s="330" t="str">
        <f>'Income statement'!A3</f>
        <v>SALES</v>
      </c>
      <c r="AF3" s="186">
        <f>'Income statement'!B3</f>
        <v>203.76</v>
      </c>
      <c r="AG3" s="186">
        <f>'Income statement'!C3</f>
        <v>382.84</v>
      </c>
      <c r="AH3" s="186">
        <f>'Income statement'!D3</f>
        <v>626.33000000000004</v>
      </c>
      <c r="AI3" s="186">
        <f>'Income statement'!E3</f>
        <v>1093.27</v>
      </c>
      <c r="AJ3" s="186">
        <f>'Income statement'!F3</f>
        <v>1708.65</v>
      </c>
      <c r="AK3" s="186">
        <f>'Income statement'!G3</f>
        <v>1935.32</v>
      </c>
      <c r="AL3" s="186">
        <f>'Income statement'!H3</f>
        <v>2615.7399999999998</v>
      </c>
      <c r="AM3" s="186">
        <f>'Income statement'!I3</f>
        <v>3392.9</v>
      </c>
      <c r="AN3" s="186">
        <f>'Income statement'!J3</f>
        <v>3487.78</v>
      </c>
      <c r="AO3" s="186">
        <f>'Income statement'!K3</f>
        <v>4115.29</v>
      </c>
    </row>
    <row r="4" spans="1:41" x14ac:dyDescent="0.25">
      <c r="A4" s="282" t="str">
        <f>AE5</f>
        <v>NET MARGINS</v>
      </c>
      <c r="B4" s="345">
        <f t="shared" ref="B4:K4" si="2">AF5</f>
        <v>1.6686297605025522E-2</v>
      </c>
      <c r="C4" s="345">
        <f t="shared" si="2"/>
        <v>7.3268206039076383E-2</v>
      </c>
      <c r="D4" s="345">
        <f t="shared" si="2"/>
        <v>4.7977903022368401E-2</v>
      </c>
      <c r="E4" s="345">
        <f t="shared" si="2"/>
        <v>6.4403120912491882E-2</v>
      </c>
      <c r="F4" s="345">
        <f t="shared" si="2"/>
        <v>6.7843033974190142E-2</v>
      </c>
      <c r="G4" s="345">
        <f t="shared" si="2"/>
        <v>8.1381890333381557E-2</v>
      </c>
      <c r="H4" s="345">
        <f t="shared" si="2"/>
        <v>8.244703219738965E-2</v>
      </c>
      <c r="I4" s="345">
        <f t="shared" si="2"/>
        <v>0.13158949571163311</v>
      </c>
      <c r="J4" s="345">
        <f t="shared" si="2"/>
        <v>7.8453916244717259E-2</v>
      </c>
      <c r="K4" s="352">
        <f t="shared" si="2"/>
        <v>8.4195767491476906E-2</v>
      </c>
      <c r="L4" s="355" t="s">
        <v>331</v>
      </c>
      <c r="AE4" s="330" t="str">
        <f>'Income statement'!A16</f>
        <v>NET PROFIT</v>
      </c>
      <c r="AF4" s="186">
        <f>'Income statement'!B16</f>
        <v>3.4</v>
      </c>
      <c r="AG4" s="186">
        <f>'Income statement'!C16</f>
        <v>28.05</v>
      </c>
      <c r="AH4" s="186">
        <f>'Income statement'!D16</f>
        <v>30.05</v>
      </c>
      <c r="AI4" s="186">
        <f>'Income statement'!E16</f>
        <v>70.41</v>
      </c>
      <c r="AJ4" s="186">
        <f>'Income statement'!F16</f>
        <v>115.92</v>
      </c>
      <c r="AK4" s="186">
        <f>'Income statement'!G16</f>
        <v>157.5</v>
      </c>
      <c r="AL4" s="186">
        <f>'Income statement'!H16</f>
        <v>215.66</v>
      </c>
      <c r="AM4" s="186">
        <f>'Income statement'!I16</f>
        <v>446.47</v>
      </c>
      <c r="AN4" s="186">
        <f>'Income statement'!J16</f>
        <v>273.63</v>
      </c>
      <c r="AO4" s="186">
        <f>'Income statement'!K16</f>
        <v>346.49</v>
      </c>
    </row>
    <row r="5" spans="1:41" x14ac:dyDescent="0.25">
      <c r="A5" s="282" t="str">
        <f>AE10</f>
        <v>DIVIDEND PAYOUT RATIO</v>
      </c>
      <c r="B5" s="345">
        <f t="shared" ref="B5:K5" si="3">AF10</f>
        <v>0.23529411764705885</v>
      </c>
      <c r="C5" s="345">
        <f t="shared" si="3"/>
        <v>0.18538324420677363</v>
      </c>
      <c r="D5" s="345">
        <f t="shared" si="3"/>
        <v>0.19633943427620634</v>
      </c>
      <c r="E5" s="345">
        <f t="shared" si="3"/>
        <v>0.19343843204090327</v>
      </c>
      <c r="F5" s="345">
        <f t="shared" si="3"/>
        <v>0.21540717736369908</v>
      </c>
      <c r="G5" s="345">
        <f t="shared" si="3"/>
        <v>0.20177777777777778</v>
      </c>
      <c r="H5" s="345">
        <f t="shared" si="3"/>
        <v>0.18946489845126588</v>
      </c>
      <c r="I5" s="345">
        <f t="shared" si="3"/>
        <v>0.12202387618429009</v>
      </c>
      <c r="J5" s="345">
        <f t="shared" si="3"/>
        <v>0.19910097577020064</v>
      </c>
      <c r="K5" s="352">
        <f t="shared" si="3"/>
        <v>0.20046754596092237</v>
      </c>
      <c r="L5" s="355" t="s">
        <v>332</v>
      </c>
      <c r="AE5" s="336" t="str">
        <f>'Income statement'!N15</f>
        <v>NET MARGINS</v>
      </c>
      <c r="AF5" s="332">
        <f>'Income statement'!O15</f>
        <v>1.6686297605025522E-2</v>
      </c>
      <c r="AG5" s="332">
        <f>'Income statement'!P15</f>
        <v>7.3268206039076383E-2</v>
      </c>
      <c r="AH5" s="332">
        <f>'Income statement'!Q15</f>
        <v>4.7977903022368401E-2</v>
      </c>
      <c r="AI5" s="332">
        <f>'Income statement'!R15</f>
        <v>6.4403120912491882E-2</v>
      </c>
      <c r="AJ5" s="332">
        <f>'Income statement'!S15</f>
        <v>6.7843033974190142E-2</v>
      </c>
      <c r="AK5" s="332">
        <f>'Income statement'!T15</f>
        <v>8.1381890333381557E-2</v>
      </c>
      <c r="AL5" s="332">
        <f>'Income statement'!U15</f>
        <v>8.244703219738965E-2</v>
      </c>
      <c r="AM5" s="332">
        <f>'Income statement'!V15</f>
        <v>0.13158949571163311</v>
      </c>
      <c r="AN5" s="332">
        <f>'Income statement'!W15</f>
        <v>7.8453916244717259E-2</v>
      </c>
      <c r="AO5" s="332">
        <f>'Income statement'!X15</f>
        <v>8.4195767491476906E-2</v>
      </c>
    </row>
    <row r="6" spans="1:41" ht="15.75" thickBot="1" x14ac:dyDescent="0.3">
      <c r="A6" s="349" t="str">
        <f>AE8</f>
        <v>Depreciation as % of NFA</v>
      </c>
      <c r="B6" s="350">
        <f t="shared" ref="B6:K6" si="4">AF8</f>
        <v>0.10828976848394323</v>
      </c>
      <c r="C6" s="350">
        <f t="shared" si="4"/>
        <v>9.2828962636342535E-2</v>
      </c>
      <c r="D6" s="350">
        <f t="shared" si="4"/>
        <v>9.7935103244837771E-2</v>
      </c>
      <c r="E6" s="350">
        <f t="shared" si="4"/>
        <v>7.1474648432460319E-2</v>
      </c>
      <c r="F6" s="350">
        <f t="shared" si="4"/>
        <v>9.824718097577316E-2</v>
      </c>
      <c r="G6" s="350">
        <f t="shared" si="4"/>
        <v>9.8374843734974529E-2</v>
      </c>
      <c r="H6" s="350">
        <f t="shared" si="4"/>
        <v>8.5311896304605214E-2</v>
      </c>
      <c r="I6" s="350">
        <f t="shared" si="4"/>
        <v>7.6119689882744937E-2</v>
      </c>
      <c r="J6" s="350">
        <f t="shared" si="4"/>
        <v>0.12251734864800194</v>
      </c>
      <c r="K6" s="353">
        <f t="shared" si="4"/>
        <v>0.13921807509137224</v>
      </c>
      <c r="L6" s="356" t="s">
        <v>333</v>
      </c>
      <c r="AE6" s="330" t="str">
        <f>'Income statement'!A9</f>
        <v>DEPRECIATION,DEPLETION&amp;AMORTIZATION</v>
      </c>
      <c r="AF6" s="186">
        <f>'Income statement'!B9</f>
        <v>2.9</v>
      </c>
      <c r="AG6" s="186">
        <f>'Income statement'!C9</f>
        <v>4</v>
      </c>
      <c r="AH6" s="186">
        <f>'Income statement'!D9</f>
        <v>4.9800000000000004</v>
      </c>
      <c r="AI6" s="186">
        <f>'Income statement'!E9</f>
        <v>5.54</v>
      </c>
      <c r="AJ6" s="186">
        <f>'Income statement'!F9</f>
        <v>8.8000000000000007</v>
      </c>
      <c r="AK6" s="186">
        <f>'Income statement'!G9</f>
        <v>10.23</v>
      </c>
      <c r="AL6" s="186">
        <f>'Income statement'!H9</f>
        <v>13.69</v>
      </c>
      <c r="AM6" s="186">
        <f>'Income statement'!I9</f>
        <v>23.76</v>
      </c>
      <c r="AN6" s="186">
        <f>'Income statement'!J9</f>
        <v>35.840000000000003</v>
      </c>
      <c r="AO6" s="186">
        <f>'Income statement'!K9</f>
        <v>37.71</v>
      </c>
    </row>
    <row r="7" spans="1:41" ht="15.75" thickBot="1" x14ac:dyDescent="0.3">
      <c r="AE7" s="330" t="s">
        <v>324</v>
      </c>
      <c r="AF7" s="186">
        <f>'Balance Sheet'!B10</f>
        <v>26.78</v>
      </c>
      <c r="AG7" s="186">
        <f>'Balance Sheet'!C10</f>
        <v>43.09</v>
      </c>
      <c r="AH7" s="186">
        <f>'Balance Sheet'!D10</f>
        <v>50.85</v>
      </c>
      <c r="AI7" s="186">
        <f>'Balance Sheet'!E10</f>
        <v>77.510000000000005</v>
      </c>
      <c r="AJ7" s="186">
        <f>'Balance Sheet'!F10</f>
        <v>89.57</v>
      </c>
      <c r="AK7" s="186">
        <f>'Balance Sheet'!G10</f>
        <v>103.99</v>
      </c>
      <c r="AL7" s="186">
        <f>'Balance Sheet'!H10</f>
        <v>160.47</v>
      </c>
      <c r="AM7" s="186">
        <f>'Balance Sheet'!I10</f>
        <v>312.14</v>
      </c>
      <c r="AN7" s="186">
        <f>'Balance Sheet'!J10</f>
        <v>292.52999999999997</v>
      </c>
      <c r="AO7" s="186">
        <f>'Balance Sheet'!K10</f>
        <v>270.87</v>
      </c>
    </row>
    <row r="8" spans="1:41" ht="15.75" thickBot="1" x14ac:dyDescent="0.3">
      <c r="A8" s="1003" t="s">
        <v>327</v>
      </c>
      <c r="B8" s="1004"/>
      <c r="C8" s="1004"/>
      <c r="D8" s="1005"/>
      <c r="E8" s="347">
        <f t="shared" ref="E8:K8" si="5">AVERAGE(AG9:AI9)*AVERAGE(AG5:AI5)*(1-(AVERAGE(AG10:AI10)))-(AVERAGE(AG8:AI8))</f>
        <v>0.60164239288223353</v>
      </c>
      <c r="F8" s="347">
        <f t="shared" si="5"/>
        <v>0.72318933479269476</v>
      </c>
      <c r="G8" s="347">
        <f t="shared" si="5"/>
        <v>0.99738721693941235</v>
      </c>
      <c r="H8" s="347">
        <f t="shared" si="5"/>
        <v>1.1429451297778752</v>
      </c>
      <c r="I8" s="347">
        <f t="shared" si="5"/>
        <v>1.3863788486610411</v>
      </c>
      <c r="J8" s="347">
        <f t="shared" si="5"/>
        <v>1.1371291033631095</v>
      </c>
      <c r="K8" s="347">
        <f t="shared" si="5"/>
        <v>0.98133095465489573</v>
      </c>
      <c r="M8" s="830" t="s">
        <v>334</v>
      </c>
      <c r="N8" s="831"/>
      <c r="O8" s="831"/>
      <c r="P8" s="831"/>
      <c r="Q8" s="832"/>
      <c r="AE8" s="330" t="s">
        <v>322</v>
      </c>
      <c r="AF8" s="332">
        <f>AF6/AF7</f>
        <v>0.10828976848394323</v>
      </c>
      <c r="AG8" s="332">
        <f t="shared" ref="AG8:AO8" si="6">AG6/AG7</f>
        <v>9.2828962636342535E-2</v>
      </c>
      <c r="AH8" s="332">
        <f t="shared" si="6"/>
        <v>9.7935103244837771E-2</v>
      </c>
      <c r="AI8" s="332">
        <f t="shared" si="6"/>
        <v>7.1474648432460319E-2</v>
      </c>
      <c r="AJ8" s="332">
        <f t="shared" si="6"/>
        <v>9.824718097577316E-2</v>
      </c>
      <c r="AK8" s="332">
        <f t="shared" si="6"/>
        <v>9.8374843734974529E-2</v>
      </c>
      <c r="AL8" s="332">
        <f t="shared" si="6"/>
        <v>8.5311896304605214E-2</v>
      </c>
      <c r="AM8" s="332">
        <f t="shared" si="6"/>
        <v>7.6119689882744937E-2</v>
      </c>
      <c r="AN8" s="332">
        <f t="shared" si="6"/>
        <v>0.12251734864800194</v>
      </c>
      <c r="AO8" s="332">
        <f t="shared" si="6"/>
        <v>0.13921807509137224</v>
      </c>
    </row>
    <row r="9" spans="1:41" ht="15.75" thickBot="1" x14ac:dyDescent="0.3">
      <c r="M9" s="346"/>
      <c r="N9" s="346"/>
      <c r="O9" s="346"/>
      <c r="P9" s="346"/>
      <c r="Q9" s="346"/>
      <c r="AE9" s="330" t="s">
        <v>323</v>
      </c>
      <c r="AF9" s="337"/>
      <c r="AG9" s="314">
        <f t="shared" ref="AG9:AO9" si="7">AG3/((AF7+AG7)/2)</f>
        <v>10.958637469586373</v>
      </c>
      <c r="AH9" s="314">
        <f t="shared" si="7"/>
        <v>13.334681711730893</v>
      </c>
      <c r="AI9" s="314">
        <f t="shared" si="7"/>
        <v>17.034434403240883</v>
      </c>
      <c r="AJ9" s="314">
        <f t="shared" si="7"/>
        <v>20.453076370600911</v>
      </c>
      <c r="AK9" s="314">
        <f t="shared" si="7"/>
        <v>19.997106840256251</v>
      </c>
      <c r="AL9" s="314">
        <f t="shared" si="7"/>
        <v>19.781743931029268</v>
      </c>
      <c r="AM9" s="314">
        <f t="shared" si="7"/>
        <v>14.358138845982946</v>
      </c>
      <c r="AN9" s="314">
        <f t="shared" si="7"/>
        <v>11.536143681677611</v>
      </c>
      <c r="AO9" s="314">
        <f t="shared" si="7"/>
        <v>14.608768193113242</v>
      </c>
    </row>
    <row r="10" spans="1:41" x14ac:dyDescent="0.25">
      <c r="A10" s="1008" t="s">
        <v>14</v>
      </c>
      <c r="B10" s="1009"/>
      <c r="C10" s="1009"/>
      <c r="D10" s="1009"/>
      <c r="E10" s="1009"/>
      <c r="F10" s="1009"/>
      <c r="G10" s="1009"/>
      <c r="H10" s="340" t="s">
        <v>55</v>
      </c>
      <c r="I10" s="340" t="s">
        <v>54</v>
      </c>
      <c r="J10" s="340" t="s">
        <v>53</v>
      </c>
      <c r="K10" s="341" t="s">
        <v>52</v>
      </c>
      <c r="L10" s="954" t="s">
        <v>413</v>
      </c>
      <c r="M10" s="954"/>
      <c r="N10" s="954"/>
      <c r="O10" s="954"/>
      <c r="P10" s="954"/>
      <c r="Q10" s="954"/>
      <c r="R10" s="954"/>
      <c r="AE10" s="330" t="str">
        <f>'Income statement'!A22</f>
        <v>DIVIDEND PAYOUT RATIO</v>
      </c>
      <c r="AF10" s="332">
        <f>'Income statement'!B22</f>
        <v>0.23529411764705885</v>
      </c>
      <c r="AG10" s="332">
        <f>'Income statement'!C22</f>
        <v>0.18538324420677363</v>
      </c>
      <c r="AH10" s="332">
        <f>'Income statement'!D22</f>
        <v>0.19633943427620634</v>
      </c>
      <c r="AI10" s="332">
        <f>'Income statement'!E22</f>
        <v>0.19343843204090327</v>
      </c>
      <c r="AJ10" s="332">
        <f>'Income statement'!F22</f>
        <v>0.21540717736369908</v>
      </c>
      <c r="AK10" s="332">
        <f>'Income statement'!G22</f>
        <v>0.20177777777777778</v>
      </c>
      <c r="AL10" s="332">
        <f>'Income statement'!H22</f>
        <v>0.18946489845126588</v>
      </c>
      <c r="AM10" s="332">
        <f>'Income statement'!I22</f>
        <v>0.12202387618429009</v>
      </c>
      <c r="AN10" s="332">
        <f>'Income statement'!J22</f>
        <v>0.19910097577020064</v>
      </c>
      <c r="AO10" s="332">
        <f>'Income statement'!K22</f>
        <v>0.20046754596092237</v>
      </c>
    </row>
    <row r="11" spans="1:41" x14ac:dyDescent="0.25">
      <c r="A11" s="1006" t="s">
        <v>335</v>
      </c>
      <c r="B11" s="1007"/>
      <c r="C11" s="1007"/>
      <c r="D11" s="1007"/>
      <c r="E11" s="1007"/>
      <c r="F11" s="1007"/>
      <c r="G11" s="1007"/>
      <c r="H11" s="664">
        <f>('Income statement'!K3/'Income statement'!H3)^(1/3)-1</f>
        <v>0.16305956442915037</v>
      </c>
      <c r="I11" s="664">
        <f>('Income statement'!K3/'Income statement'!F3)^(1/5)-1</f>
        <v>0.19220095888007149</v>
      </c>
      <c r="J11" s="664">
        <f>('Income statement'!K3/'Income statement'!D3)^(1/7)-1</f>
        <v>0.30857796926475722</v>
      </c>
      <c r="K11" s="665">
        <f>('Income statement'!K3/'Income statement'!B3)^(1/9)-1</f>
        <v>0.3964689353899935</v>
      </c>
      <c r="L11" s="954"/>
      <c r="M11" s="954"/>
      <c r="N11" s="954"/>
      <c r="O11" s="954"/>
      <c r="P11" s="954"/>
      <c r="Q11" s="954"/>
      <c r="R11" s="954"/>
      <c r="AE11" s="330" t="s">
        <v>325</v>
      </c>
      <c r="AF11" s="338">
        <f>1-AF10</f>
        <v>0.76470588235294112</v>
      </c>
      <c r="AG11" s="338">
        <f t="shared" ref="AG11:AO11" si="8">1-AG10</f>
        <v>0.81461675579322634</v>
      </c>
      <c r="AH11" s="338">
        <f t="shared" si="8"/>
        <v>0.80366056572379363</v>
      </c>
      <c r="AI11" s="338">
        <f t="shared" si="8"/>
        <v>0.80656156795909673</v>
      </c>
      <c r="AJ11" s="338">
        <f t="shared" si="8"/>
        <v>0.78459282263630092</v>
      </c>
      <c r="AK11" s="338">
        <f t="shared" si="8"/>
        <v>0.79822222222222217</v>
      </c>
      <c r="AL11" s="338">
        <f t="shared" si="8"/>
        <v>0.81053510154873409</v>
      </c>
      <c r="AM11" s="338">
        <f t="shared" si="8"/>
        <v>0.87797612381570989</v>
      </c>
      <c r="AN11" s="338">
        <f t="shared" si="8"/>
        <v>0.80089902422979931</v>
      </c>
      <c r="AO11" s="338">
        <f t="shared" si="8"/>
        <v>0.79953245403907758</v>
      </c>
    </row>
    <row r="12" spans="1:41" x14ac:dyDescent="0.25">
      <c r="A12" s="1016" t="s">
        <v>336</v>
      </c>
      <c r="B12" s="1017"/>
      <c r="C12" s="1017"/>
      <c r="D12" s="1017"/>
      <c r="E12" s="1017"/>
      <c r="F12" s="1017"/>
      <c r="G12" s="1017"/>
      <c r="H12" s="664">
        <f>('Income statement'!K13/'Income statement'!H13)^(1/3)-1</f>
        <v>0.12920783594202345</v>
      </c>
      <c r="I12" s="664">
        <f>('Income statement'!K13/'Income statement'!F13)^(1/5)-1</f>
        <v>0.21939950012175191</v>
      </c>
      <c r="J12" s="664">
        <f>('Income statement'!K13/'Income statement'!D13)^(1/7)-1</f>
        <v>0.40826190923756589</v>
      </c>
      <c r="K12" s="665">
        <f>('Income statement'!K13/'Income statement'!B13)^(1/9)-1</f>
        <v>0.65202971198538173</v>
      </c>
    </row>
    <row r="13" spans="1:41" ht="15.75" thickBot="1" x14ac:dyDescent="0.3">
      <c r="A13" s="1018" t="s">
        <v>337</v>
      </c>
      <c r="B13" s="1019"/>
      <c r="C13" s="1019"/>
      <c r="D13" s="1019"/>
      <c r="E13" s="1019"/>
      <c r="F13" s="1019"/>
      <c r="G13" s="1019"/>
      <c r="H13" s="666">
        <f>('Income statement'!K16/'Income statement'!H16)^(1/3)-1</f>
        <v>0.17122509207944137</v>
      </c>
      <c r="I13" s="666">
        <f>('Income statement'!K16/'Income statement'!F16)^(1/5)-1</f>
        <v>0.24481973968759618</v>
      </c>
      <c r="J13" s="666">
        <f>('Income statement'!K16/'Income statement'!D16)^(1/7)-1</f>
        <v>0.4180525278322047</v>
      </c>
      <c r="K13" s="667">
        <f>('Income statement'!K16/'Income statement'!B16)^(1/9)-1</f>
        <v>0.67160877819603737</v>
      </c>
    </row>
    <row r="14" spans="1:41" ht="15.75" thickBot="1" x14ac:dyDescent="0.3">
      <c r="A14" s="651"/>
      <c r="B14" s="652"/>
      <c r="C14" s="652"/>
      <c r="D14" s="652"/>
      <c r="E14" s="652"/>
      <c r="F14" s="652"/>
      <c r="G14" s="652"/>
      <c r="H14" s="650"/>
      <c r="I14" s="650"/>
      <c r="J14" s="650"/>
      <c r="K14" s="653"/>
    </row>
    <row r="15" spans="1:41" x14ac:dyDescent="0.25">
      <c r="A15" s="1020" t="s">
        <v>338</v>
      </c>
      <c r="B15" s="1021"/>
      <c r="C15" s="1021"/>
      <c r="D15" s="1021"/>
      <c r="E15" s="1021"/>
      <c r="F15" s="1021"/>
      <c r="G15" s="1021"/>
      <c r="H15" s="668">
        <f>AVERAGE('Income statement'!I20:K20)</f>
        <v>18.21274509761955</v>
      </c>
      <c r="I15" s="668">
        <f>AVERAGE('Income statement'!G20:K20)</f>
        <v>16.326199005684249</v>
      </c>
      <c r="J15" s="668">
        <f>AVERAGE('Income statement'!E20:K20)</f>
        <v>14.335391581914205</v>
      </c>
      <c r="K15" s="669">
        <f>AVERAGE('Income statement'!B20:K20)</f>
        <v>11.449136444620946</v>
      </c>
      <c r="N15" s="331"/>
      <c r="O15" s="185"/>
      <c r="P15" s="331"/>
    </row>
    <row r="16" spans="1:41" x14ac:dyDescent="0.25">
      <c r="A16" s="1025" t="s">
        <v>481</v>
      </c>
      <c r="B16" s="1007"/>
      <c r="C16" s="1007"/>
      <c r="D16" s="1007"/>
      <c r="E16" s="1007"/>
      <c r="F16" s="1007"/>
      <c r="G16" s="1007"/>
      <c r="H16" s="664">
        <f>('Balance Sheet'!$K$17/'Balance Sheet'!H17)^(1/3)-1</f>
        <v>0.55939068411885406</v>
      </c>
      <c r="I16" s="664">
        <f>('Balance Sheet'!$K$17/'Balance Sheet'!F17)^(1/5)-1</f>
        <v>0.21475544256882295</v>
      </c>
      <c r="J16" s="664">
        <f>('Balance Sheet'!$K$17/'Balance Sheet'!D17)^(1/7)-1</f>
        <v>0.1217039169144043</v>
      </c>
      <c r="K16" s="665">
        <f>('Balance Sheet'!$K$17/'Balance Sheet'!B17)^(1/9)-1</f>
        <v>0.16297723862705715</v>
      </c>
      <c r="N16" s="185"/>
    </row>
    <row r="17" spans="1:15" ht="15.75" thickBot="1" x14ac:dyDescent="0.3">
      <c r="A17" s="1026" t="s">
        <v>482</v>
      </c>
      <c r="B17" s="1027"/>
      <c r="C17" s="1027"/>
      <c r="D17" s="1027"/>
      <c r="E17" s="1027"/>
      <c r="F17" s="1027"/>
      <c r="G17" s="1027"/>
      <c r="H17" s="666">
        <f>('Balance Sheet'!$K$18/'Balance Sheet'!H18)^(1/3)-1</f>
        <v>0.1517933266553444</v>
      </c>
      <c r="I17" s="666">
        <f>('Balance Sheet'!$K$18/'Balance Sheet'!F18)^(1/5)-1</f>
        <v>0.19608787576631692</v>
      </c>
      <c r="J17" s="666">
        <f>('Balance Sheet'!$K$18/'Balance Sheet'!D18)^(1/7)-1</f>
        <v>0.2788427554009425</v>
      </c>
      <c r="K17" s="667">
        <f>('Balance Sheet'!$K$18/'Balance Sheet'!B18)^(1/9)-1</f>
        <v>0.33987772368643832</v>
      </c>
    </row>
    <row r="18" spans="1:15" x14ac:dyDescent="0.25">
      <c r="A18" s="1010" t="s">
        <v>167</v>
      </c>
      <c r="B18" s="1011"/>
      <c r="C18" s="1011"/>
      <c r="D18" s="1011"/>
      <c r="E18" s="1011"/>
      <c r="F18" s="1011"/>
      <c r="G18" s="1012"/>
      <c r="N18" s="252"/>
      <c r="O18" s="252"/>
    </row>
    <row r="19" spans="1:15" ht="14.25" customHeight="1" x14ac:dyDescent="0.25">
      <c r="A19" s="1010"/>
      <c r="B19" s="1011"/>
      <c r="C19" s="1011"/>
      <c r="D19" s="1011"/>
      <c r="E19" s="1011"/>
      <c r="F19" s="1011"/>
      <c r="G19" s="1012"/>
    </row>
    <row r="20" spans="1:15" ht="0.75" customHeight="1" x14ac:dyDescent="0.25">
      <c r="A20" s="1010"/>
      <c r="B20" s="1011"/>
      <c r="C20" s="1011"/>
      <c r="D20" s="1011"/>
      <c r="E20" s="1011"/>
      <c r="F20" s="1011"/>
      <c r="G20" s="1012"/>
    </row>
    <row r="21" spans="1:15" ht="21.75" thickBot="1" x14ac:dyDescent="0.3">
      <c r="A21" s="1013"/>
      <c r="B21" s="1014"/>
      <c r="C21" s="1014"/>
      <c r="D21" s="1014"/>
      <c r="E21" s="1014"/>
      <c r="F21" s="1014"/>
      <c r="G21" s="1015"/>
      <c r="H21" s="331"/>
      <c r="I21" s="329"/>
      <c r="J21" s="74"/>
      <c r="K21" s="74"/>
    </row>
    <row r="22" spans="1:15" x14ac:dyDescent="0.25">
      <c r="H22" s="185"/>
      <c r="I22" s="331"/>
    </row>
    <row r="24" spans="1:15" x14ac:dyDescent="0.25">
      <c r="A24" s="339"/>
    </row>
    <row r="28" spans="1:15" x14ac:dyDescent="0.25">
      <c r="H28" s="331"/>
      <c r="I28" s="331"/>
      <c r="J28" s="331"/>
      <c r="K28" s="331"/>
    </row>
    <row r="29" spans="1:15" x14ac:dyDescent="0.25">
      <c r="H29" s="331"/>
      <c r="I29" s="331"/>
      <c r="J29" s="331"/>
      <c r="K29" s="331"/>
    </row>
    <row r="30" spans="1:15" x14ac:dyDescent="0.25">
      <c r="G30" s="331"/>
      <c r="H30" s="331"/>
      <c r="I30" s="331"/>
      <c r="J30" s="331"/>
      <c r="K30" s="331"/>
    </row>
    <row r="31" spans="1:15" x14ac:dyDescent="0.25">
      <c r="B31" s="331"/>
      <c r="C31" s="331"/>
      <c r="D31" s="331"/>
      <c r="E31" s="331"/>
      <c r="F31" s="331"/>
      <c r="G31" s="331"/>
    </row>
    <row r="32" spans="1:15" x14ac:dyDescent="0.25">
      <c r="B32" s="331"/>
      <c r="C32" s="331"/>
      <c r="D32" s="331"/>
      <c r="E32" s="331"/>
      <c r="F32" s="331"/>
      <c r="G32" s="331"/>
    </row>
    <row r="34" spans="5:5" x14ac:dyDescent="0.25">
      <c r="E34" s="333"/>
    </row>
  </sheetData>
  <mergeCells count="14">
    <mergeCell ref="AE1:AO1"/>
    <mergeCell ref="A8:D8"/>
    <mergeCell ref="A11:G11"/>
    <mergeCell ref="A10:G10"/>
    <mergeCell ref="A18:G21"/>
    <mergeCell ref="A12:G12"/>
    <mergeCell ref="A13:G13"/>
    <mergeCell ref="A15:G15"/>
    <mergeCell ref="A1:K1"/>
    <mergeCell ref="M8:Q8"/>
    <mergeCell ref="L10:R11"/>
    <mergeCell ref="A16:G16"/>
    <mergeCell ref="A17:G17"/>
    <mergeCell ref="N1:Q1"/>
  </mergeCells>
  <conditionalFormatting sqref="H11">
    <cfRule type="expression" dxfId="191" priority="8">
      <formula>H11&lt;10%</formula>
    </cfRule>
  </conditionalFormatting>
  <conditionalFormatting sqref="I11:K11">
    <cfRule type="expression" dxfId="190" priority="7">
      <formula>I11&lt;10%</formula>
    </cfRule>
  </conditionalFormatting>
  <conditionalFormatting sqref="H12:K12">
    <cfRule type="expression" dxfId="189" priority="6">
      <formula>H12&lt;10%</formula>
    </cfRule>
  </conditionalFormatting>
  <conditionalFormatting sqref="H13:K13">
    <cfRule type="expression" dxfId="188" priority="5">
      <formula>H13&lt;10%</formula>
    </cfRule>
  </conditionalFormatting>
  <conditionalFormatting sqref="H16">
    <cfRule type="expression" dxfId="187" priority="4">
      <formula>H16&gt;H11</formula>
    </cfRule>
  </conditionalFormatting>
  <conditionalFormatting sqref="I16:K16">
    <cfRule type="expression" dxfId="186" priority="3">
      <formula>I16&gt;I11</formula>
    </cfRule>
  </conditionalFormatting>
  <conditionalFormatting sqref="H17">
    <cfRule type="expression" dxfId="185" priority="2">
      <formula>H17&gt;H11</formula>
    </cfRule>
  </conditionalFormatting>
  <conditionalFormatting sqref="I17:K17">
    <cfRule type="expression" dxfId="184" priority="1">
      <formula>I17&gt;I11</formula>
    </cfRule>
  </conditionalFormatting>
  <hyperlinks>
    <hyperlink ref="L10:R11" r:id="rId1" display="click here for the explanation "/>
    <hyperlink ref="A13:G13" location="DCF!A7" display="Net Profit Growth (CAGR)"/>
    <hyperlink ref="N1:Q1" r:id="rId2" display="https://investordiary.in/"/>
  </hyperlinks>
  <pageMargins left="0.7" right="0.7" top="0.75" bottom="0.75" header="0.3" footer="0.3"/>
  <pageSetup orientation="landscape" r:id="rId3"/>
  <drawing r:id="rId4"/>
  <legacy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Z44"/>
  <sheetViews>
    <sheetView showGridLines="0" zoomScaleNormal="100" workbookViewId="0">
      <selection sqref="A1:L1"/>
    </sheetView>
  </sheetViews>
  <sheetFormatPr defaultColWidth="13.140625" defaultRowHeight="12.75" x14ac:dyDescent="0.2"/>
  <cols>
    <col min="1" max="1" width="32" style="13" bestFit="1" customWidth="1"/>
    <col min="2" max="2" width="7" style="13" bestFit="1" customWidth="1"/>
    <col min="3" max="3" width="7.28515625" style="13" bestFit="1" customWidth="1"/>
    <col min="4" max="4" width="8.7109375" style="13" bestFit="1" customWidth="1"/>
    <col min="5" max="5" width="10.140625" style="13" bestFit="1" customWidth="1"/>
    <col min="6" max="6" width="9" style="13" bestFit="1" customWidth="1"/>
    <col min="7" max="9" width="7.140625" style="13" bestFit="1" customWidth="1"/>
    <col min="10" max="10" width="9.7109375" style="13" bestFit="1" customWidth="1"/>
    <col min="11" max="11" width="7.140625" style="13" bestFit="1" customWidth="1"/>
    <col min="12" max="12" width="8.85546875" style="13" bestFit="1" customWidth="1"/>
    <col min="13" max="16384" width="13.140625" style="13"/>
  </cols>
  <sheetData>
    <row r="1" spans="1:52" ht="16.5" thickBot="1" x14ac:dyDescent="0.3">
      <c r="A1" s="1034" t="s">
        <v>173</v>
      </c>
      <c r="B1" s="1035"/>
      <c r="C1" s="1035"/>
      <c r="D1" s="1035"/>
      <c r="E1" s="1035"/>
      <c r="F1" s="1035"/>
      <c r="G1" s="1035"/>
      <c r="H1" s="1035"/>
      <c r="I1" s="1035"/>
      <c r="J1" s="1035"/>
      <c r="K1" s="1035"/>
      <c r="L1" s="1036"/>
    </row>
    <row r="2" spans="1:52" s="7" customFormat="1" x14ac:dyDescent="0.2">
      <c r="A2" s="1037" t="str">
        <f>'Balance Sheet'!A2</f>
        <v>AVANTI FEEDS LTD</v>
      </c>
      <c r="B2" s="1038"/>
      <c r="C2" s="1038"/>
      <c r="D2" s="1038"/>
      <c r="E2" s="1038"/>
      <c r="F2" s="1038"/>
      <c r="G2" s="1038"/>
      <c r="H2" s="1038"/>
      <c r="I2" s="1038"/>
      <c r="J2" s="1038"/>
      <c r="K2" s="1038"/>
      <c r="L2" s="1039"/>
    </row>
    <row r="3" spans="1:52" s="10" customFormat="1" x14ac:dyDescent="0.2">
      <c r="A3" s="195" t="s">
        <v>148</v>
      </c>
      <c r="B3" s="180">
        <f>'Data Sheet'!B81</f>
        <v>40633</v>
      </c>
      <c r="C3" s="180">
        <f>'Data Sheet'!C81</f>
        <v>40999</v>
      </c>
      <c r="D3" s="180">
        <f>'Data Sheet'!D81</f>
        <v>41364</v>
      </c>
      <c r="E3" s="180">
        <f>'Data Sheet'!E81</f>
        <v>41729</v>
      </c>
      <c r="F3" s="180">
        <f>'Data Sheet'!F81</f>
        <v>42094</v>
      </c>
      <c r="G3" s="180">
        <f>'Data Sheet'!G81</f>
        <v>42460</v>
      </c>
      <c r="H3" s="180">
        <f>'Data Sheet'!H81</f>
        <v>42825</v>
      </c>
      <c r="I3" s="180">
        <f>'Data Sheet'!I81</f>
        <v>43190</v>
      </c>
      <c r="J3" s="180">
        <f>'Data Sheet'!J81</f>
        <v>43555</v>
      </c>
      <c r="K3" s="180">
        <f>'Data Sheet'!K81</f>
        <v>43921</v>
      </c>
      <c r="L3" s="196" t="s">
        <v>17</v>
      </c>
    </row>
    <row r="4" spans="1:52" s="7" customFormat="1" x14ac:dyDescent="0.2">
      <c r="A4" s="92" t="s">
        <v>81</v>
      </c>
      <c r="B4" s="30">
        <f>'Data Sheet'!B82</f>
        <v>-7.72</v>
      </c>
      <c r="C4" s="30">
        <f>'Data Sheet'!C82</f>
        <v>50.38</v>
      </c>
      <c r="D4" s="30">
        <f>'Data Sheet'!D82</f>
        <v>-20.55</v>
      </c>
      <c r="E4" s="30">
        <f>'Data Sheet'!E82</f>
        <v>55.56</v>
      </c>
      <c r="F4" s="30">
        <f>'Data Sheet'!F82</f>
        <v>89.34</v>
      </c>
      <c r="G4" s="30">
        <f>'Data Sheet'!G82</f>
        <v>122</v>
      </c>
      <c r="H4" s="30">
        <f>'Data Sheet'!H82</f>
        <v>277.75</v>
      </c>
      <c r="I4" s="30">
        <f>'Data Sheet'!I82</f>
        <v>280.93</v>
      </c>
      <c r="J4" s="30">
        <f>'Data Sheet'!J82</f>
        <v>183.76</v>
      </c>
      <c r="K4" s="30">
        <f>'Data Sheet'!K82</f>
        <v>125.09</v>
      </c>
      <c r="L4" s="62">
        <f>SUM(B4:K4)</f>
        <v>1156.54</v>
      </c>
      <c r="M4" s="13"/>
    </row>
    <row r="5" spans="1:52" s="70" customFormat="1" x14ac:dyDescent="0.2">
      <c r="A5" s="93" t="s">
        <v>177</v>
      </c>
      <c r="B5" s="69"/>
      <c r="C5" s="29">
        <f>C4/B4-1</f>
        <v>-7.5259067357512963</v>
      </c>
      <c r="D5" s="29">
        <f t="shared" ref="D5:K5" si="0">D4/C4-1</f>
        <v>-1.4078999603017071</v>
      </c>
      <c r="E5" s="29">
        <f t="shared" si="0"/>
        <v>-3.7036496350364962</v>
      </c>
      <c r="F5" s="29">
        <f t="shared" si="0"/>
        <v>0.60799136069114468</v>
      </c>
      <c r="G5" s="29">
        <f t="shared" si="0"/>
        <v>0.36556973360196987</v>
      </c>
      <c r="H5" s="29">
        <f t="shared" si="0"/>
        <v>1.276639344262295</v>
      </c>
      <c r="I5" s="29">
        <f t="shared" si="0"/>
        <v>1.144914491449156E-2</v>
      </c>
      <c r="J5" s="29">
        <f t="shared" si="0"/>
        <v>-0.34588687573416865</v>
      </c>
      <c r="K5" s="29">
        <f t="shared" si="0"/>
        <v>-0.31927514148889846</v>
      </c>
      <c r="L5" s="64"/>
      <c r="M5" s="12"/>
    </row>
    <row r="6" spans="1:52" x14ac:dyDescent="0.2">
      <c r="A6" s="94" t="s">
        <v>24</v>
      </c>
      <c r="B6" s="21">
        <f>'Data Sheet'!B83</f>
        <v>-17.600000000000001</v>
      </c>
      <c r="C6" s="21">
        <f>'Data Sheet'!C83</f>
        <v>-17.440000000000001</v>
      </c>
      <c r="D6" s="21">
        <f>'Data Sheet'!D83</f>
        <v>5.43</v>
      </c>
      <c r="E6" s="21">
        <f>'Data Sheet'!E83</f>
        <v>-39.1</v>
      </c>
      <c r="F6" s="21">
        <f>'Data Sheet'!F83</f>
        <v>-83.52</v>
      </c>
      <c r="G6" s="21">
        <f>'Data Sheet'!G83</f>
        <v>18.13</v>
      </c>
      <c r="H6" s="21">
        <f>'Data Sheet'!H83</f>
        <v>-407.76</v>
      </c>
      <c r="I6" s="21">
        <f>'Data Sheet'!I83</f>
        <v>-269.27</v>
      </c>
      <c r="J6" s="21">
        <f>'Data Sheet'!J83</f>
        <v>-26.78</v>
      </c>
      <c r="K6" s="21">
        <f>'Data Sheet'!K83</f>
        <v>-25.94</v>
      </c>
      <c r="L6" s="62">
        <f t="shared" ref="L6:L8" si="1">SUM(B6:K6)</f>
        <v>-863.85</v>
      </c>
    </row>
    <row r="7" spans="1:52" x14ac:dyDescent="0.2">
      <c r="A7" s="94" t="s">
        <v>25</v>
      </c>
      <c r="B7" s="21">
        <f>'Data Sheet'!B84</f>
        <v>19.010000000000002</v>
      </c>
      <c r="C7" s="21">
        <f>'Data Sheet'!C84</f>
        <v>-14.09</v>
      </c>
      <c r="D7" s="21">
        <f>'Data Sheet'!D84</f>
        <v>0.81</v>
      </c>
      <c r="E7" s="21">
        <f>'Data Sheet'!E84</f>
        <v>-12.74</v>
      </c>
      <c r="F7" s="21">
        <f>'Data Sheet'!F84</f>
        <v>-11.97</v>
      </c>
      <c r="G7" s="21">
        <f>'Data Sheet'!G84</f>
        <v>-74.260000000000005</v>
      </c>
      <c r="H7" s="21">
        <f>'Data Sheet'!H84</f>
        <v>100.51</v>
      </c>
      <c r="I7" s="21">
        <f>'Data Sheet'!I84</f>
        <v>-45.45</v>
      </c>
      <c r="J7" s="21">
        <f>'Data Sheet'!J84</f>
        <v>-105.77</v>
      </c>
      <c r="K7" s="21">
        <f>'Data Sheet'!K84</f>
        <v>-141.31</v>
      </c>
      <c r="L7" s="62">
        <f t="shared" si="1"/>
        <v>-285.26</v>
      </c>
    </row>
    <row r="8" spans="1:52" s="7" customFormat="1" x14ac:dyDescent="0.2">
      <c r="A8" s="92" t="s">
        <v>26</v>
      </c>
      <c r="B8" s="30">
        <f>'Data Sheet'!B85</f>
        <v>-6.31</v>
      </c>
      <c r="C8" s="30">
        <f>'Data Sheet'!C85</f>
        <v>18.850000000000001</v>
      </c>
      <c r="D8" s="30">
        <f>'Data Sheet'!D85</f>
        <v>-14.31</v>
      </c>
      <c r="E8" s="30">
        <f>'Data Sheet'!E85</f>
        <v>3.72</v>
      </c>
      <c r="F8" s="30">
        <f>'Data Sheet'!F85</f>
        <v>-6.15</v>
      </c>
      <c r="G8" s="30">
        <f>'Data Sheet'!G85</f>
        <v>65.86</v>
      </c>
      <c r="H8" s="30">
        <f>'Data Sheet'!H85</f>
        <v>-29.5</v>
      </c>
      <c r="I8" s="30">
        <f>'Data Sheet'!I85</f>
        <v>-33.79</v>
      </c>
      <c r="J8" s="30">
        <f>'Data Sheet'!J85</f>
        <v>51.21</v>
      </c>
      <c r="K8" s="30">
        <f>'Data Sheet'!K85</f>
        <v>-42.16</v>
      </c>
      <c r="L8" s="62">
        <f t="shared" si="1"/>
        <v>7.4200000000000088</v>
      </c>
    </row>
    <row r="9" spans="1:52" s="12" customFormat="1" x14ac:dyDescent="0.2">
      <c r="A9" s="95" t="s">
        <v>82</v>
      </c>
      <c r="B9" s="29">
        <f>B4/'Income statement'!B3</f>
        <v>-3.7887711032587361E-2</v>
      </c>
      <c r="C9" s="29">
        <f>C4/'Income statement'!C3</f>
        <v>0.13159544457214503</v>
      </c>
      <c r="D9" s="29">
        <f>D4/'Income statement'!D3</f>
        <v>-3.2810179937093863E-2</v>
      </c>
      <c r="E9" s="29">
        <f>E4/'Income statement'!E3</f>
        <v>5.0820017013180646E-2</v>
      </c>
      <c r="F9" s="29">
        <f>F4/'Income statement'!F3</f>
        <v>5.2286893161267667E-2</v>
      </c>
      <c r="G9" s="29">
        <f>G4/'Income statement'!G3</f>
        <v>6.3038670607444766E-2</v>
      </c>
      <c r="H9" s="29">
        <f>H4/'Income statement'!H3</f>
        <v>0.10618410086629405</v>
      </c>
      <c r="I9" s="29">
        <f>I4/'Income statement'!I3</f>
        <v>8.2799375165787378E-2</v>
      </c>
      <c r="J9" s="29">
        <f>J4/'Income statement'!J3</f>
        <v>5.2686809374444483E-2</v>
      </c>
      <c r="K9" s="29">
        <f>K4/'Income statement'!K3</f>
        <v>3.0396399767695596E-2</v>
      </c>
      <c r="L9" s="63"/>
    </row>
    <row r="10" spans="1:52" s="12" customFormat="1" x14ac:dyDescent="0.2">
      <c r="A10" s="110" t="s">
        <v>83</v>
      </c>
      <c r="B10" s="29">
        <f>B4/'Income statement'!B16</f>
        <v>-2.2705882352941176</v>
      </c>
      <c r="C10" s="29">
        <f>C4/'Income statement'!C16</f>
        <v>1.7960784313725491</v>
      </c>
      <c r="D10" s="29">
        <f>D4/'Income statement'!D16</f>
        <v>-0.68386023294509157</v>
      </c>
      <c r="E10" s="29">
        <f>E4/'Income statement'!E16</f>
        <v>0.78909245845760556</v>
      </c>
      <c r="F10" s="29">
        <f>F4/'Income statement'!F16</f>
        <v>0.77070393374741197</v>
      </c>
      <c r="G10" s="29">
        <f>G4/'Income statement'!G16</f>
        <v>0.77460317460317463</v>
      </c>
      <c r="H10" s="29">
        <f>H4/'Income statement'!H16</f>
        <v>1.2879068904757489</v>
      </c>
      <c r="I10" s="29">
        <f>I4/'Income statement'!I16</f>
        <v>0.62922480793782332</v>
      </c>
      <c r="J10" s="29">
        <f>J4/'Income statement'!J16</f>
        <v>0.67156379052004533</v>
      </c>
      <c r="K10" s="29">
        <f>K4/'Income statement'!K16</f>
        <v>0.36102052007272939</v>
      </c>
      <c r="L10" s="528">
        <f>AVERAGE(B10:K10)</f>
        <v>0.41257455389478787</v>
      </c>
    </row>
    <row r="11" spans="1:52" x14ac:dyDescent="0.2">
      <c r="A11" s="311" t="s">
        <v>316</v>
      </c>
      <c r="B11" s="310"/>
      <c r="C11" s="310">
        <f>('Balance Sheet'!C10+'Balance Sheet'!C11)-('Balance Sheet'!B10+'Balance Sheet'!B11)+('Income statement'!C9)</f>
        <v>10.860000000000007</v>
      </c>
      <c r="D11" s="310">
        <f>('Balance Sheet'!D10+'Balance Sheet'!D11)-('Balance Sheet'!C10+'Balance Sheet'!C11)+('Income statement'!D9)</f>
        <v>12.66</v>
      </c>
      <c r="E11" s="310">
        <f>('Balance Sheet'!E10+'Balance Sheet'!E11)-('Balance Sheet'!D10+'Balance Sheet'!D11)+('Income statement'!E9)</f>
        <v>35.42</v>
      </c>
      <c r="F11" s="310">
        <f>('Balance Sheet'!F10+'Balance Sheet'!F11)-('Balance Sheet'!E10+'Balance Sheet'!E11)+('Income statement'!F9)</f>
        <v>16.049999999999986</v>
      </c>
      <c r="G11" s="310">
        <f>('Balance Sheet'!G10+'Balance Sheet'!G11)-('Balance Sheet'!F10+'Balance Sheet'!F11)+('Income statement'!G9)</f>
        <v>66.27</v>
      </c>
      <c r="H11" s="310">
        <f>('Balance Sheet'!H10+'Balance Sheet'!H11)-('Balance Sheet'!G10+'Balance Sheet'!G11)+('Income statement'!H9)</f>
        <v>122.62</v>
      </c>
      <c r="I11" s="310">
        <f>('Balance Sheet'!I10+'Balance Sheet'!I11)-('Balance Sheet'!H10+'Balance Sheet'!H11)+('Income statement'!I9)</f>
        <v>83.330000000000027</v>
      </c>
      <c r="J11" s="310">
        <f>('Balance Sheet'!J10+'Balance Sheet'!J11)-('Balance Sheet'!I10+'Balance Sheet'!I11)+('Income statement'!J9)</f>
        <v>23.269999999999953</v>
      </c>
      <c r="K11" s="310">
        <f>('Balance Sheet'!K10+'Balance Sheet'!K11)-('Balance Sheet'!J10+'Balance Sheet'!J11)+('Income statement'!K9)</f>
        <v>32.930000000000028</v>
      </c>
      <c r="L11" s="64"/>
    </row>
    <row r="12" spans="1:52" ht="15" x14ac:dyDescent="0.2">
      <c r="A12" s="641" t="s">
        <v>106</v>
      </c>
      <c r="B12" s="31"/>
      <c r="C12" s="30">
        <f t="shared" ref="C12:K12" si="2">C4-C11</f>
        <v>39.519999999999996</v>
      </c>
      <c r="D12" s="30">
        <f t="shared" si="2"/>
        <v>-33.21</v>
      </c>
      <c r="E12" s="30">
        <f t="shared" si="2"/>
        <v>20.14</v>
      </c>
      <c r="F12" s="30">
        <f t="shared" si="2"/>
        <v>73.29000000000002</v>
      </c>
      <c r="G12" s="30">
        <f t="shared" si="2"/>
        <v>55.730000000000004</v>
      </c>
      <c r="H12" s="30">
        <f t="shared" si="2"/>
        <v>155.13</v>
      </c>
      <c r="I12" s="30">
        <f t="shared" si="2"/>
        <v>197.59999999999997</v>
      </c>
      <c r="J12" s="30">
        <f t="shared" si="2"/>
        <v>160.49000000000004</v>
      </c>
      <c r="K12" s="30">
        <f t="shared" si="2"/>
        <v>92.159999999999968</v>
      </c>
      <c r="L12" s="64">
        <f>SUM(C12:K12)</f>
        <v>760.85</v>
      </c>
    </row>
    <row r="13" spans="1:52" ht="14.45" customHeight="1" x14ac:dyDescent="0.2">
      <c r="A13" s="93" t="s">
        <v>107</v>
      </c>
      <c r="B13" s="1031">
        <f>AVERAGE(I12:K12)</f>
        <v>150.08333333333334</v>
      </c>
      <c r="C13" s="1032"/>
      <c r="D13" s="1032"/>
      <c r="E13" s="1032"/>
      <c r="F13" s="1032"/>
      <c r="G13" s="1032"/>
      <c r="H13" s="1032"/>
      <c r="I13" s="1032"/>
      <c r="J13" s="1032"/>
      <c r="K13" s="1033"/>
      <c r="L13" s="65"/>
      <c r="AZ13" s="13" t="s">
        <v>364</v>
      </c>
    </row>
    <row r="14" spans="1:52" ht="14.45" customHeight="1" x14ac:dyDescent="0.2">
      <c r="A14" s="93" t="s">
        <v>178</v>
      </c>
      <c r="B14" s="68"/>
      <c r="C14" s="71"/>
      <c r="D14" s="71">
        <f t="shared" ref="D14:K14" si="3">D12/C12-1</f>
        <v>-1.840334008097166</v>
      </c>
      <c r="E14" s="71">
        <f t="shared" si="3"/>
        <v>-1.6064438422162</v>
      </c>
      <c r="F14" s="71">
        <f t="shared" si="3"/>
        <v>2.6390268123138041</v>
      </c>
      <c r="G14" s="71">
        <f t="shared" si="3"/>
        <v>-0.23959612498294458</v>
      </c>
      <c r="H14" s="71">
        <f t="shared" si="3"/>
        <v>1.7835994975776059</v>
      </c>
      <c r="I14" s="71">
        <f t="shared" si="3"/>
        <v>0.27377038612776361</v>
      </c>
      <c r="J14" s="71">
        <f t="shared" si="3"/>
        <v>-0.18780364372469605</v>
      </c>
      <c r="K14" s="71">
        <f t="shared" si="3"/>
        <v>-0.42575861424387851</v>
      </c>
      <c r="L14" s="65"/>
      <c r="AZ14" s="13" t="s">
        <v>365</v>
      </c>
    </row>
    <row r="15" spans="1:52" x14ac:dyDescent="0.2">
      <c r="A15" s="93" t="s">
        <v>143</v>
      </c>
      <c r="B15" s="29"/>
      <c r="C15" s="29">
        <f>C12/'Data Sheet'!C17</f>
        <v>0.10322850276878069</v>
      </c>
      <c r="D15" s="29">
        <f>D12/'Data Sheet'!D17</f>
        <v>-5.302316670125972E-2</v>
      </c>
      <c r="E15" s="29">
        <f>E12/'Data Sheet'!E17</f>
        <v>1.8421798823712351E-2</v>
      </c>
      <c r="F15" s="29">
        <f>F12/'Data Sheet'!F17</f>
        <v>4.2893512422087623E-2</v>
      </c>
      <c r="G15" s="29">
        <f>G12/'Data Sheet'!G17</f>
        <v>2.8796271417646697E-2</v>
      </c>
      <c r="H15" s="29">
        <f>H12/'Data Sheet'!H17</f>
        <v>5.9306353077905299E-2</v>
      </c>
      <c r="I15" s="29">
        <f>I12/'Data Sheet'!I17</f>
        <v>5.8239264346134564E-2</v>
      </c>
      <c r="J15" s="29">
        <f>J12/'Data Sheet'!J17</f>
        <v>4.6014943603094237E-2</v>
      </c>
      <c r="K15" s="29">
        <f>K12/'Data Sheet'!K17</f>
        <v>2.2394533556565871E-2</v>
      </c>
      <c r="L15" s="65"/>
    </row>
    <row r="16" spans="1:52" ht="13.5" thickBot="1" x14ac:dyDescent="0.25">
      <c r="A16" s="529" t="s">
        <v>144</v>
      </c>
      <c r="B16" s="66"/>
      <c r="C16" s="66">
        <f>C12/'Data Sheet'!C30</f>
        <v>1.4089126559714793</v>
      </c>
      <c r="D16" s="66">
        <f>D12/'Data Sheet'!D30</f>
        <v>-1.1051580698835275</v>
      </c>
      <c r="E16" s="66">
        <f>E12/'Data Sheet'!E30</f>
        <v>0.28603891492685701</v>
      </c>
      <c r="F16" s="66">
        <f>F12/'Data Sheet'!F30</f>
        <v>0.63224637681159435</v>
      </c>
      <c r="G16" s="66">
        <f>G12/'Data Sheet'!G30</f>
        <v>0.35384126984126985</v>
      </c>
      <c r="H16" s="66">
        <f>H12/'Data Sheet'!H30</f>
        <v>0.71932671798200876</v>
      </c>
      <c r="I16" s="66">
        <f>I12/'Data Sheet'!I30</f>
        <v>0.44258292830425328</v>
      </c>
      <c r="J16" s="66">
        <f>J12/'Data Sheet'!J30</f>
        <v>0.58652194569308935</v>
      </c>
      <c r="K16" s="66">
        <f>K12/'Data Sheet'!K30</f>
        <v>0.26598170221362799</v>
      </c>
      <c r="L16" s="67"/>
    </row>
    <row r="17" spans="1:52" ht="12.75" customHeight="1" x14ac:dyDescent="0.25">
      <c r="A17" s="312"/>
      <c r="D17" s="98"/>
      <c r="E17" s="274" t="s">
        <v>308</v>
      </c>
      <c r="F17" s="274" t="s">
        <v>309</v>
      </c>
      <c r="G17" s="293" t="s">
        <v>186</v>
      </c>
      <c r="I17" s="2"/>
      <c r="J17" s="296" t="s">
        <v>142</v>
      </c>
      <c r="K17" s="294" t="s">
        <v>186</v>
      </c>
      <c r="L17" s="312"/>
      <c r="AZ17" s="7" t="s">
        <v>366</v>
      </c>
    </row>
    <row r="18" spans="1:52" ht="15" x14ac:dyDescent="0.25">
      <c r="A18" s="313" t="s">
        <v>340</v>
      </c>
      <c r="B18" s="313"/>
      <c r="C18" s="313"/>
      <c r="D18" s="97">
        <f>K3</f>
        <v>43921</v>
      </c>
      <c r="E18" s="96">
        <f>K7</f>
        <v>-141.31</v>
      </c>
      <c r="F18" s="96">
        <f>K6</f>
        <v>-25.94</v>
      </c>
      <c r="G18" s="96">
        <f>K4</f>
        <v>125.09</v>
      </c>
      <c r="I18" s="102">
        <f t="shared" ref="I18:I27" si="4">D18</f>
        <v>43921</v>
      </c>
      <c r="J18" s="478">
        <f>'Income statement'!K16</f>
        <v>346.49</v>
      </c>
      <c r="K18" s="101">
        <f t="shared" ref="K18:K27" si="5">G18</f>
        <v>125.09</v>
      </c>
      <c r="AZ18" s="7" t="s">
        <v>367</v>
      </c>
    </row>
    <row r="19" spans="1:52" ht="15" x14ac:dyDescent="0.25">
      <c r="A19" s="1040" t="s">
        <v>339</v>
      </c>
      <c r="B19" s="1040"/>
      <c r="C19" s="1041"/>
      <c r="D19" s="97">
        <f>J3</f>
        <v>43555</v>
      </c>
      <c r="E19" s="96">
        <f>J7</f>
        <v>-105.77</v>
      </c>
      <c r="F19" s="96">
        <f>J6</f>
        <v>-26.78</v>
      </c>
      <c r="G19" s="96">
        <f>J4</f>
        <v>183.76</v>
      </c>
      <c r="I19" s="102">
        <f t="shared" si="4"/>
        <v>43555</v>
      </c>
      <c r="J19" s="478">
        <f>'Income statement'!J16</f>
        <v>273.63</v>
      </c>
      <c r="K19" s="101">
        <f t="shared" si="5"/>
        <v>183.76</v>
      </c>
      <c r="AZ19" s="7" t="s">
        <v>368</v>
      </c>
    </row>
    <row r="20" spans="1:52" s="16" customFormat="1" ht="15" x14ac:dyDescent="0.25">
      <c r="A20" s="1043" t="s">
        <v>318</v>
      </c>
      <c r="B20" s="1044"/>
      <c r="C20" s="1045"/>
      <c r="D20" s="97">
        <f>I3</f>
        <v>43190</v>
      </c>
      <c r="E20" s="96">
        <f>I7</f>
        <v>-45.45</v>
      </c>
      <c r="F20" s="96">
        <f>I6</f>
        <v>-269.27</v>
      </c>
      <c r="G20" s="96">
        <f>I4</f>
        <v>280.93</v>
      </c>
      <c r="I20" s="102">
        <f t="shared" si="4"/>
        <v>43190</v>
      </c>
      <c r="J20" s="478">
        <f>'Income statement'!I16</f>
        <v>446.47</v>
      </c>
      <c r="K20" s="101">
        <f t="shared" si="5"/>
        <v>280.93</v>
      </c>
      <c r="AZ20" s="10" t="s">
        <v>369</v>
      </c>
    </row>
    <row r="21" spans="1:52" ht="15" x14ac:dyDescent="0.25">
      <c r="A21" s="1042" t="s">
        <v>366</v>
      </c>
      <c r="B21" s="1042"/>
      <c r="C21" s="1042"/>
      <c r="D21" s="97">
        <f>H3</f>
        <v>42825</v>
      </c>
      <c r="E21" s="96">
        <f>H7</f>
        <v>100.51</v>
      </c>
      <c r="F21" s="96">
        <f>H6</f>
        <v>-407.76</v>
      </c>
      <c r="G21" s="96">
        <f>H4</f>
        <v>277.75</v>
      </c>
      <c r="I21" s="102">
        <f t="shared" si="4"/>
        <v>42825</v>
      </c>
      <c r="J21" s="478">
        <f>'Income statement'!H16</f>
        <v>215.66</v>
      </c>
      <c r="K21" s="101">
        <f t="shared" si="5"/>
        <v>277.75</v>
      </c>
    </row>
    <row r="22" spans="1:52" ht="16.5" customHeight="1" x14ac:dyDescent="0.25">
      <c r="A22" s="1046" t="s">
        <v>317</v>
      </c>
      <c r="B22" s="1046"/>
      <c r="C22" s="1046"/>
      <c r="D22" s="97">
        <f>G3</f>
        <v>42460</v>
      </c>
      <c r="E22" s="96">
        <f>G7</f>
        <v>-74.260000000000005</v>
      </c>
      <c r="F22" s="96">
        <f>G6</f>
        <v>18.13</v>
      </c>
      <c r="G22" s="96">
        <f>G4</f>
        <v>122</v>
      </c>
      <c r="I22" s="102">
        <f t="shared" si="4"/>
        <v>42460</v>
      </c>
      <c r="J22" s="478">
        <f>'Income statement'!G16</f>
        <v>157.5</v>
      </c>
      <c r="K22" s="101">
        <f t="shared" si="5"/>
        <v>122</v>
      </c>
      <c r="AZ22" s="7" t="s">
        <v>366</v>
      </c>
    </row>
    <row r="23" spans="1:52" ht="15" x14ac:dyDescent="0.25">
      <c r="A23" s="1050" t="s">
        <v>192</v>
      </c>
      <c r="B23" s="1051"/>
      <c r="C23" s="1052"/>
      <c r="D23" s="97">
        <f>F3</f>
        <v>42094</v>
      </c>
      <c r="E23" s="96">
        <f>F7</f>
        <v>-11.97</v>
      </c>
      <c r="F23" s="96">
        <f>F6</f>
        <v>-83.52</v>
      </c>
      <c r="G23" s="96">
        <f>F4</f>
        <v>89.34</v>
      </c>
      <c r="I23" s="102">
        <f t="shared" si="4"/>
        <v>42094</v>
      </c>
      <c r="J23" s="478">
        <f>'Income statement'!F16</f>
        <v>115.92</v>
      </c>
      <c r="K23" s="101">
        <f t="shared" si="5"/>
        <v>89.34</v>
      </c>
      <c r="AZ23" s="7" t="s">
        <v>367</v>
      </c>
    </row>
    <row r="24" spans="1:52" ht="15" x14ac:dyDescent="0.25">
      <c r="A24" s="1047" t="s">
        <v>319</v>
      </c>
      <c r="B24" s="1048"/>
      <c r="C24" s="1049"/>
      <c r="D24" s="97">
        <f>E3</f>
        <v>41729</v>
      </c>
      <c r="E24" s="96">
        <f>E7</f>
        <v>-12.74</v>
      </c>
      <c r="F24" s="96">
        <f>E6</f>
        <v>-39.1</v>
      </c>
      <c r="G24" s="96">
        <f>E4</f>
        <v>55.56</v>
      </c>
      <c r="I24" s="102">
        <f t="shared" si="4"/>
        <v>41729</v>
      </c>
      <c r="J24" s="478">
        <f>'Income statement'!E16</f>
        <v>70.41</v>
      </c>
      <c r="K24" s="101">
        <f t="shared" si="5"/>
        <v>55.56</v>
      </c>
      <c r="AZ24" s="7" t="s">
        <v>368</v>
      </c>
    </row>
    <row r="25" spans="1:52" ht="15" x14ac:dyDescent="0.25">
      <c r="A25" s="1042" t="s">
        <v>370</v>
      </c>
      <c r="B25" s="1042"/>
      <c r="C25" s="1042"/>
      <c r="D25" s="97">
        <f>D3</f>
        <v>41364</v>
      </c>
      <c r="E25" s="96">
        <f>D7</f>
        <v>0.81</v>
      </c>
      <c r="F25" s="96">
        <f>D6</f>
        <v>5.43</v>
      </c>
      <c r="G25" s="96">
        <f>D4</f>
        <v>-20.55</v>
      </c>
      <c r="I25" s="102">
        <f t="shared" si="4"/>
        <v>41364</v>
      </c>
      <c r="J25" s="478">
        <f>'Income statement'!D16</f>
        <v>30.05</v>
      </c>
      <c r="K25" s="101">
        <f t="shared" si="5"/>
        <v>-20.55</v>
      </c>
      <c r="AZ25" s="10" t="s">
        <v>369</v>
      </c>
    </row>
    <row r="26" spans="1:52" ht="15" x14ac:dyDescent="0.25">
      <c r="A26" s="1029" t="s">
        <v>413</v>
      </c>
      <c r="D26" s="97">
        <f>C3</f>
        <v>40999</v>
      </c>
      <c r="E26" s="96">
        <f>C7</f>
        <v>-14.09</v>
      </c>
      <c r="F26" s="96">
        <f>C6</f>
        <v>-17.440000000000001</v>
      </c>
      <c r="G26" s="96">
        <f>C4</f>
        <v>50.38</v>
      </c>
      <c r="I26" s="102">
        <f t="shared" si="4"/>
        <v>40999</v>
      </c>
      <c r="J26" s="478">
        <f>'Income statement'!C16</f>
        <v>28.05</v>
      </c>
      <c r="K26" s="101">
        <f t="shared" si="5"/>
        <v>50.38</v>
      </c>
    </row>
    <row r="27" spans="1:52" ht="15" x14ac:dyDescent="0.25">
      <c r="A27" s="1030"/>
      <c r="D27" s="97">
        <f>B3</f>
        <v>40633</v>
      </c>
      <c r="E27" s="96">
        <f>B7</f>
        <v>19.010000000000002</v>
      </c>
      <c r="F27" s="96">
        <f>B6</f>
        <v>-17.600000000000001</v>
      </c>
      <c r="G27" s="96">
        <f>B4</f>
        <v>-7.72</v>
      </c>
      <c r="I27" s="102">
        <f t="shared" si="4"/>
        <v>40633</v>
      </c>
      <c r="J27" s="186">
        <f>'Income statement'!B16</f>
        <v>3.4</v>
      </c>
      <c r="K27" s="101">
        <f t="shared" si="5"/>
        <v>-7.72</v>
      </c>
      <c r="AZ27" s="13" t="s">
        <v>370</v>
      </c>
    </row>
    <row r="28" spans="1:52" x14ac:dyDescent="0.2">
      <c r="AZ28" s="13" t="s">
        <v>371</v>
      </c>
    </row>
    <row r="44" spans="2:4" ht="15" x14ac:dyDescent="0.25">
      <c r="B44" s="99"/>
      <c r="C44" s="99"/>
      <c r="D44" s="99"/>
    </row>
  </sheetData>
  <mergeCells count="11">
    <mergeCell ref="A26:A27"/>
    <mergeCell ref="B13:K13"/>
    <mergeCell ref="A1:L1"/>
    <mergeCell ref="A2:L2"/>
    <mergeCell ref="A19:C19"/>
    <mergeCell ref="A25:C25"/>
    <mergeCell ref="A20:C20"/>
    <mergeCell ref="A22:C22"/>
    <mergeCell ref="A24:C24"/>
    <mergeCell ref="A21:C21"/>
    <mergeCell ref="A23:C23"/>
  </mergeCells>
  <conditionalFormatting sqref="K18">
    <cfRule type="expression" dxfId="183" priority="21">
      <formula>K18&lt;J18</formula>
    </cfRule>
    <cfRule type="expression" dxfId="182" priority="22">
      <formula>K18&gt;=J18</formula>
    </cfRule>
  </conditionalFormatting>
  <conditionalFormatting sqref="K19:K27">
    <cfRule type="expression" dxfId="181" priority="19">
      <formula>K19&lt;J19</formula>
    </cfRule>
    <cfRule type="expression" dxfId="180" priority="20">
      <formula>K19&gt;=J19</formula>
    </cfRule>
  </conditionalFormatting>
  <conditionalFormatting sqref="C4">
    <cfRule type="expression" dxfId="179" priority="17">
      <formula>C4&lt;B4</formula>
    </cfRule>
    <cfRule type="expression" dxfId="178" priority="18">
      <formula>C4&gt;B4</formula>
    </cfRule>
  </conditionalFormatting>
  <conditionalFormatting sqref="D4:K4">
    <cfRule type="expression" dxfId="177" priority="15">
      <formula>D4&lt;C4</formula>
    </cfRule>
    <cfRule type="expression" dxfId="176" priority="16">
      <formula>D4&gt;C4</formula>
    </cfRule>
  </conditionalFormatting>
  <conditionalFormatting sqref="C12:K12">
    <cfRule type="expression" dxfId="175" priority="13">
      <formula>C12&lt;B12</formula>
    </cfRule>
    <cfRule type="expression" dxfId="174" priority="14">
      <formula>C12&gt;B12</formula>
    </cfRule>
  </conditionalFormatting>
  <conditionalFormatting sqref="E18">
    <cfRule type="expression" dxfId="173" priority="9">
      <formula>E18&gt;=0</formula>
    </cfRule>
    <cfRule type="expression" dxfId="172" priority="12">
      <formula>E18&gt;=O</formula>
    </cfRule>
  </conditionalFormatting>
  <conditionalFormatting sqref="E19:E27">
    <cfRule type="expression" dxfId="171" priority="7">
      <formula>E19&gt;=0</formula>
    </cfRule>
    <cfRule type="expression" dxfId="170" priority="8">
      <formula>E19&gt;=O</formula>
    </cfRule>
  </conditionalFormatting>
  <conditionalFormatting sqref="F18:F27">
    <cfRule type="expression" dxfId="169" priority="5">
      <formula>F18&gt;=0</formula>
    </cfRule>
    <cfRule type="expression" dxfId="168" priority="6">
      <formula>F18&gt;=O</formula>
    </cfRule>
  </conditionalFormatting>
  <conditionalFormatting sqref="L10">
    <cfRule type="expression" dxfId="167" priority="3">
      <formula>$L$10&gt;90%</formula>
    </cfRule>
    <cfRule type="expression" dxfId="166" priority="4">
      <formula>$L$10&lt;=70%</formula>
    </cfRule>
  </conditionalFormatting>
  <conditionalFormatting sqref="G18">
    <cfRule type="expression" dxfId="165" priority="2">
      <formula>G18&lt;=0</formula>
    </cfRule>
  </conditionalFormatting>
  <conditionalFormatting sqref="G19:G27">
    <cfRule type="expression" dxfId="164" priority="1">
      <formula>G19&lt;=0</formula>
    </cfRule>
  </conditionalFormatting>
  <dataValidations disablePrompts="1" count="3">
    <dataValidation type="list" allowBlank="1" showInputMessage="1" showErrorMessage="1" sqref="A21:C21">
      <formula1>cashflow</formula1>
    </dataValidation>
    <dataValidation type="list" allowBlank="1" showInputMessage="1" showErrorMessage="1" sqref="A23:C23">
      <formula1>UNDERSTAND</formula1>
    </dataValidation>
    <dataValidation type="list" allowBlank="1" showInputMessage="1" showErrorMessage="1" sqref="A25:C25">
      <formula1>Consistent</formula1>
    </dataValidation>
  </dataValidations>
  <hyperlinks>
    <hyperlink ref="A26:A27" r:id="rId1" display="click here for the explanation "/>
    <hyperlink ref="A12" location="DCF!A4" display="FCF"/>
  </hyperlinks>
  <printOptions gridLines="1"/>
  <pageMargins left="0.7" right="0.7" top="0.75" bottom="0.75" header="0.3" footer="0.3"/>
  <pageSetup paperSize="9" orientation="landscape"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32"/>
  <sheetViews>
    <sheetView showGridLines="0" zoomScaleNormal="100" workbookViewId="0">
      <selection sqref="A1:K1"/>
    </sheetView>
  </sheetViews>
  <sheetFormatPr defaultRowHeight="15" x14ac:dyDescent="0.25"/>
  <cols>
    <col min="1" max="1" width="32.85546875" customWidth="1"/>
    <col min="6" max="6" width="9.5703125" customWidth="1"/>
    <col min="8" max="8" width="10" customWidth="1"/>
    <col min="9" max="9" width="9.5703125" customWidth="1"/>
    <col min="19" max="19" width="7.140625" bestFit="1" customWidth="1"/>
  </cols>
  <sheetData>
    <row r="1" spans="1:39" ht="24.75" customHeight="1" thickTop="1" thickBot="1" x14ac:dyDescent="0.4">
      <c r="A1" s="1173" t="str">
        <f>summary!B6</f>
        <v>AVANTI FEEDS LTD</v>
      </c>
      <c r="B1" s="1174"/>
      <c r="C1" s="1174"/>
      <c r="D1" s="1174"/>
      <c r="E1" s="1174"/>
      <c r="F1" s="1174"/>
      <c r="G1" s="1174"/>
      <c r="H1" s="1174"/>
      <c r="I1" s="1174"/>
      <c r="J1" s="1174"/>
      <c r="K1" s="1175"/>
      <c r="L1" s="373" t="s">
        <v>341</v>
      </c>
      <c r="M1" s="570" t="s">
        <v>412</v>
      </c>
      <c r="N1" s="534"/>
      <c r="O1" s="534"/>
    </row>
    <row r="2" spans="1:39" ht="24.75" customHeight="1" thickTop="1" thickBot="1" x14ac:dyDescent="0.4">
      <c r="A2" s="1173" t="s">
        <v>232</v>
      </c>
      <c r="B2" s="1174"/>
      <c r="C2" s="1174"/>
      <c r="D2" s="1174"/>
      <c r="E2" s="1174"/>
      <c r="F2" s="1174"/>
      <c r="G2" s="1174"/>
      <c r="H2" s="1174"/>
      <c r="I2" s="1174"/>
      <c r="J2" s="1174"/>
      <c r="K2" s="1175"/>
      <c r="L2" s="372" t="s">
        <v>342</v>
      </c>
      <c r="M2" s="537"/>
      <c r="N2" s="534"/>
      <c r="O2" s="534"/>
    </row>
    <row r="3" spans="1:39" s="174" customFormat="1" ht="13.5" customHeight="1" thickTop="1" thickBot="1" x14ac:dyDescent="0.4">
      <c r="A3" s="309"/>
      <c r="B3" s="309"/>
      <c r="C3" s="309"/>
      <c r="D3" s="309"/>
      <c r="E3" s="309"/>
      <c r="F3" s="309"/>
      <c r="G3" s="309"/>
      <c r="H3" s="309"/>
      <c r="I3" s="309"/>
      <c r="J3" s="309"/>
      <c r="K3" s="309"/>
    </row>
    <row r="4" spans="1:39" x14ac:dyDescent="0.25">
      <c r="A4" s="522" t="s">
        <v>233</v>
      </c>
      <c r="B4" s="341">
        <f>B8</f>
        <v>40633</v>
      </c>
      <c r="C4" s="341">
        <f t="shared" ref="C4:K4" si="0">C8</f>
        <v>40999</v>
      </c>
      <c r="D4" s="341">
        <f t="shared" si="0"/>
        <v>41364</v>
      </c>
      <c r="E4" s="341">
        <f t="shared" si="0"/>
        <v>41729</v>
      </c>
      <c r="F4" s="341">
        <f t="shared" si="0"/>
        <v>42094</v>
      </c>
      <c r="G4" s="341">
        <f t="shared" si="0"/>
        <v>42460</v>
      </c>
      <c r="H4" s="341">
        <f t="shared" si="0"/>
        <v>42825</v>
      </c>
      <c r="I4" s="341">
        <f t="shared" si="0"/>
        <v>43190</v>
      </c>
      <c r="J4" s="341">
        <f t="shared" si="0"/>
        <v>43555</v>
      </c>
      <c r="K4" s="341">
        <f t="shared" si="0"/>
        <v>43921</v>
      </c>
      <c r="M4" s="542" t="s">
        <v>218</v>
      </c>
      <c r="N4" s="542" t="s">
        <v>219</v>
      </c>
      <c r="O4" s="543" t="s">
        <v>220</v>
      </c>
    </row>
    <row r="5" spans="1:39" ht="16.5" customHeight="1" thickBot="1" x14ac:dyDescent="0.3">
      <c r="A5" s="523" t="s">
        <v>313</v>
      </c>
      <c r="B5" s="308">
        <f>('Income statement'!B13+'Income statement'!B12)/('Balance Sheet'!B4+'Balance Sheet'!B5+'Balance Sheet'!B6)</f>
        <v>7.977093079528956E-2</v>
      </c>
      <c r="C5" s="308">
        <f>('Income statement'!C13+'Income statement'!C12)/('Balance Sheet'!C4+'Balance Sheet'!C5+'Balance Sheet'!C6)</f>
        <v>0.30786422684732501</v>
      </c>
      <c r="D5" s="308">
        <f>('Income statement'!D13+'Income statement'!D12)/('Balance Sheet'!D4+'Balance Sheet'!D5+'Balance Sheet'!D6)</f>
        <v>0.25813728649693846</v>
      </c>
      <c r="E5" s="308">
        <f>('Income statement'!E13+'Income statement'!E12)/('Balance Sheet'!E4+'Balance Sheet'!E5+'Balance Sheet'!E6)</f>
        <v>0.46484789341932192</v>
      </c>
      <c r="F5" s="308">
        <f>('Income statement'!F13+'Income statement'!F12)/('Balance Sheet'!F4+'Balance Sheet'!F5+'Balance Sheet'!F6)</f>
        <v>0.5638419475424018</v>
      </c>
      <c r="G5" s="308">
        <f>('Income statement'!G13+'Income statement'!G12)/('Balance Sheet'!G4+'Balance Sheet'!G5+'Balance Sheet'!G6)</f>
        <v>0.55723183391003472</v>
      </c>
      <c r="H5" s="308">
        <f>('Income statement'!H13+'Income statement'!H12)/('Balance Sheet'!H4+'Balance Sheet'!H5+'Balance Sheet'!H6)</f>
        <v>0.52220932363902972</v>
      </c>
      <c r="I5" s="308">
        <f>('Income statement'!I13+'Income statement'!I12)/('Balance Sheet'!I4+'Balance Sheet'!I5+'Balance Sheet'!I6)</f>
        <v>0.68309336928781239</v>
      </c>
      <c r="J5" s="308">
        <f>('Income statement'!J13+'Income statement'!J12)/('Balance Sheet'!J4+'Balance Sheet'!J5+'Balance Sheet'!J6)</f>
        <v>0.35625771414465573</v>
      </c>
      <c r="K5" s="521">
        <f>('Income statement'!K13+'Income statement'!K12)/('Balance Sheet'!K4+'Balance Sheet'!K5+'Balance Sheet'!K6)</f>
        <v>0.34815157445294437</v>
      </c>
      <c r="M5" s="544">
        <f>AVERAGE(B5:K5)</f>
        <v>0.41414061005357539</v>
      </c>
      <c r="N5" s="545">
        <f>MIN(B5:K5)</f>
        <v>7.977093079528956E-2</v>
      </c>
      <c r="O5" s="546">
        <f>MAX(B5:K5)</f>
        <v>0.68309336928781239</v>
      </c>
    </row>
    <row r="6" spans="1:39" s="174" customFormat="1" ht="12" customHeight="1" thickBot="1" x14ac:dyDescent="0.4">
      <c r="A6" s="200"/>
      <c r="B6" s="200"/>
      <c r="C6" s="200"/>
      <c r="D6" s="200"/>
      <c r="E6" s="200"/>
      <c r="F6" s="200"/>
      <c r="G6" s="200"/>
      <c r="H6" s="200"/>
      <c r="I6" s="200"/>
      <c r="J6" s="200"/>
      <c r="K6" s="200"/>
      <c r="M6" s="547"/>
      <c r="N6" s="547"/>
      <c r="O6" s="547"/>
    </row>
    <row r="7" spans="1:39" ht="24" thickBot="1" x14ac:dyDescent="0.4">
      <c r="A7" s="1176" t="s">
        <v>245</v>
      </c>
      <c r="B7" s="1177"/>
      <c r="C7" s="1177"/>
      <c r="D7" s="1177"/>
      <c r="E7" s="1177"/>
      <c r="F7" s="1177"/>
      <c r="G7" s="1177"/>
      <c r="H7" s="1177"/>
      <c r="I7" s="1177"/>
      <c r="J7" s="1177"/>
      <c r="K7" s="1178"/>
      <c r="M7" s="547"/>
      <c r="N7" s="547"/>
      <c r="O7" s="547"/>
      <c r="P7" s="520"/>
      <c r="Q7" s="520"/>
      <c r="R7" s="357"/>
    </row>
    <row r="8" spans="1:39" ht="21.75" thickBot="1" x14ac:dyDescent="0.3">
      <c r="A8" s="202" t="s">
        <v>233</v>
      </c>
      <c r="B8" s="188">
        <f>'Balance Sheet'!B3</f>
        <v>40633</v>
      </c>
      <c r="C8" s="188">
        <f>'Balance Sheet'!C3</f>
        <v>40999</v>
      </c>
      <c r="D8" s="188">
        <f>'Balance Sheet'!D3</f>
        <v>41364</v>
      </c>
      <c r="E8" s="188">
        <f>'Balance Sheet'!E3</f>
        <v>41729</v>
      </c>
      <c r="F8" s="188">
        <f>'Balance Sheet'!F3</f>
        <v>42094</v>
      </c>
      <c r="G8" s="188">
        <f>'Balance Sheet'!G3</f>
        <v>42460</v>
      </c>
      <c r="H8" s="188">
        <f>'Balance Sheet'!H3</f>
        <v>42825</v>
      </c>
      <c r="I8" s="188">
        <f>'Balance Sheet'!I3</f>
        <v>43190</v>
      </c>
      <c r="J8" s="188">
        <f>'Balance Sheet'!J3</f>
        <v>43555</v>
      </c>
      <c r="K8" s="188">
        <f>'Balance Sheet'!K3</f>
        <v>43921</v>
      </c>
      <c r="M8" s="548" t="s">
        <v>218</v>
      </c>
      <c r="N8" s="548" t="s">
        <v>219</v>
      </c>
      <c r="O8" s="549" t="s">
        <v>220</v>
      </c>
      <c r="P8" s="549" t="s">
        <v>534</v>
      </c>
      <c r="Q8" s="74"/>
      <c r="R8" s="357"/>
    </row>
    <row r="9" spans="1:39" ht="15.75" thickBot="1" x14ac:dyDescent="0.3">
      <c r="A9" s="201"/>
      <c r="B9" s="2"/>
      <c r="C9" s="2"/>
      <c r="D9" s="2"/>
      <c r="E9" s="2"/>
      <c r="F9" s="2"/>
      <c r="G9" s="2"/>
      <c r="H9" s="2"/>
      <c r="I9" s="2"/>
      <c r="J9" s="2"/>
      <c r="K9" s="183"/>
      <c r="M9" s="550"/>
      <c r="N9" s="547"/>
      <c r="O9" s="551"/>
      <c r="P9" s="183"/>
      <c r="R9" s="357"/>
    </row>
    <row r="10" spans="1:39" ht="15.75" thickBot="1" x14ac:dyDescent="0.3">
      <c r="A10" s="459" t="s">
        <v>234</v>
      </c>
      <c r="B10" s="561">
        <f>'Income statement'!O15</f>
        <v>1.6686297605025522E-2</v>
      </c>
      <c r="C10" s="561">
        <f>'Income statement'!P15</f>
        <v>7.3268206039076383E-2</v>
      </c>
      <c r="D10" s="561">
        <f>'Income statement'!Q15</f>
        <v>4.7977903022368401E-2</v>
      </c>
      <c r="E10" s="561">
        <f>'Income statement'!R15</f>
        <v>6.4403120912491882E-2</v>
      </c>
      <c r="F10" s="561">
        <f>'Income statement'!S15</f>
        <v>6.7843033974190142E-2</v>
      </c>
      <c r="G10" s="561">
        <f>'Income statement'!T15</f>
        <v>8.1381890333381557E-2</v>
      </c>
      <c r="H10" s="561">
        <f>'Income statement'!U15</f>
        <v>8.244703219738965E-2</v>
      </c>
      <c r="I10" s="561">
        <f>'Income statement'!V15</f>
        <v>0.13158949571163311</v>
      </c>
      <c r="J10" s="561">
        <f>'Income statement'!W15</f>
        <v>7.8453916244717259E-2</v>
      </c>
      <c r="K10" s="562">
        <f>'Income statement'!X15</f>
        <v>8.4195767491476906E-2</v>
      </c>
      <c r="M10" s="552">
        <f>AVERAGE(B10:K10)</f>
        <v>7.2824666353175097E-2</v>
      </c>
      <c r="N10" s="553">
        <f>MIN(B10:K10)</f>
        <v>1.6686297605025522E-2</v>
      </c>
      <c r="O10" s="554">
        <f>MAX(B10:K10)</f>
        <v>0.13158949571163311</v>
      </c>
      <c r="P10" s="710">
        <f>M10/M18</f>
        <v>0.23984434708646862</v>
      </c>
      <c r="R10" s="357"/>
      <c r="S10" s="331"/>
    </row>
    <row r="11" spans="1:39" ht="15.75" thickBot="1" x14ac:dyDescent="0.3">
      <c r="A11" s="175"/>
      <c r="B11" s="1"/>
      <c r="C11" s="286"/>
      <c r="D11" s="286"/>
      <c r="E11" s="286"/>
      <c r="F11" s="286"/>
      <c r="G11" s="286"/>
      <c r="H11" s="286"/>
      <c r="I11" s="286"/>
      <c r="J11" s="286"/>
      <c r="K11" s="285"/>
      <c r="M11" s="550"/>
      <c r="N11" s="547"/>
      <c r="O11" s="551"/>
      <c r="P11" s="713"/>
      <c r="R11" s="357"/>
    </row>
    <row r="12" spans="1:39" ht="15.75" thickBot="1" x14ac:dyDescent="0.3">
      <c r="A12" s="295" t="s">
        <v>235</v>
      </c>
      <c r="B12" s="556">
        <f>'Income statement'!B3/'Balance Sheet'!B8</f>
        <v>1.3546071001196649</v>
      </c>
      <c r="C12" s="556">
        <f>'Income statement'!C3/'Balance Sheet'!C8</f>
        <v>2.0975235590620205</v>
      </c>
      <c r="D12" s="556">
        <f>'Income statement'!D3/'Balance Sheet'!D8</f>
        <v>2.5245062474808546</v>
      </c>
      <c r="E12" s="556">
        <f>'Income statement'!E3/'Balance Sheet'!E8</f>
        <v>2.7444960461905357</v>
      </c>
      <c r="F12" s="556">
        <f>'Income statement'!F3/'Balance Sheet'!F8</f>
        <v>3.5777251978726081</v>
      </c>
      <c r="G12" s="556">
        <f>'Income statement'!G3/'Balance Sheet'!G8</f>
        <v>3.1084484420173464</v>
      </c>
      <c r="H12" s="556">
        <f>'Income statement'!H3/'Balance Sheet'!H8</f>
        <v>2.4477279532864196</v>
      </c>
      <c r="I12" s="556">
        <f>'Income statement'!I3/'Balance Sheet'!I8</f>
        <v>2.2230157378166235</v>
      </c>
      <c r="J12" s="556">
        <f>'Income statement'!J3/'Balance Sheet'!J8</f>
        <v>2.1598568261478062</v>
      </c>
      <c r="K12" s="557">
        <f>'Income statement'!K3/'Balance Sheet'!K8</f>
        <v>2.1890422617622809</v>
      </c>
      <c r="M12" s="555">
        <f t="shared" ref="M12:M18" si="1">AVERAGE(B12:K12)</f>
        <v>2.4426949371756161</v>
      </c>
      <c r="N12" s="556">
        <f t="shared" ref="N12:N18" si="2">MIN(B12:K12)</f>
        <v>1.3546071001196649</v>
      </c>
      <c r="O12" s="557">
        <f t="shared" ref="O12:O18" si="3">MAX(B12:K12)</f>
        <v>3.5777251978726081</v>
      </c>
      <c r="P12" s="710">
        <f>P18-P16-P10</f>
        <v>0.35888684716423325</v>
      </c>
      <c r="R12" s="357"/>
      <c r="S12" s="331"/>
    </row>
    <row r="13" spans="1:39" x14ac:dyDescent="0.25">
      <c r="A13" s="175"/>
      <c r="B13" s="1"/>
      <c r="C13" s="1"/>
      <c r="D13" s="1"/>
      <c r="E13" s="1"/>
      <c r="F13" s="1"/>
      <c r="G13" s="1"/>
      <c r="H13" s="1"/>
      <c r="I13" s="1"/>
      <c r="J13" s="1"/>
      <c r="K13" s="222"/>
      <c r="M13" s="550"/>
      <c r="N13" s="547"/>
      <c r="O13" s="551"/>
      <c r="P13" s="713"/>
      <c r="R13" s="357"/>
    </row>
    <row r="14" spans="1:39" x14ac:dyDescent="0.25">
      <c r="A14" s="459" t="s">
        <v>236</v>
      </c>
      <c r="B14" s="251">
        <f>B10*B12</f>
        <v>2.2603377210477331E-2</v>
      </c>
      <c r="C14" s="251">
        <f t="shared" ref="C14:J14" si="4">C10*C12</f>
        <v>0.15368178829717291</v>
      </c>
      <c r="D14" s="251">
        <f t="shared" si="4"/>
        <v>0.12112051592099961</v>
      </c>
      <c r="E14" s="251">
        <f t="shared" si="4"/>
        <v>0.17675411070666497</v>
      </c>
      <c r="F14" s="251">
        <f t="shared" si="4"/>
        <v>0.24272373214958751</v>
      </c>
      <c r="G14" s="251">
        <f t="shared" si="4"/>
        <v>0.25297141021522646</v>
      </c>
      <c r="H14" s="251">
        <f t="shared" si="4"/>
        <v>0.20180790537505611</v>
      </c>
      <c r="I14" s="251">
        <f t="shared" si="4"/>
        <v>0.29252551989831349</v>
      </c>
      <c r="J14" s="251">
        <f t="shared" si="4"/>
        <v>0.16944922653918082</v>
      </c>
      <c r="K14" s="563">
        <f>K10*K12</f>
        <v>0.18430809330035372</v>
      </c>
      <c r="M14" s="552">
        <f t="shared" si="1"/>
        <v>0.18179456796130328</v>
      </c>
      <c r="N14" s="553">
        <f t="shared" si="2"/>
        <v>2.2603377210477331E-2</v>
      </c>
      <c r="O14" s="554">
        <f t="shared" si="3"/>
        <v>0.29252551989831349</v>
      </c>
      <c r="P14" s="713"/>
      <c r="R14" s="357"/>
    </row>
    <row r="15" spans="1:39" ht="15.75" thickBot="1" x14ac:dyDescent="0.3">
      <c r="A15" s="175"/>
      <c r="B15" s="1"/>
      <c r="C15" s="1"/>
      <c r="D15" s="1"/>
      <c r="E15" s="1"/>
      <c r="F15" s="1"/>
      <c r="G15" s="1"/>
      <c r="H15" s="1"/>
      <c r="I15" s="1"/>
      <c r="J15" s="1"/>
      <c r="K15" s="222"/>
      <c r="M15" s="550"/>
      <c r="N15" s="547"/>
      <c r="O15" s="551"/>
      <c r="P15" s="713"/>
      <c r="R15" s="357"/>
      <c r="AM15" t="s">
        <v>253</v>
      </c>
    </row>
    <row r="16" spans="1:39" ht="15.75" thickBot="1" x14ac:dyDescent="0.3">
      <c r="A16" s="526" t="s">
        <v>237</v>
      </c>
      <c r="B16" s="564">
        <f>'Balance Sheet'!B8/('Balance Sheet'!B4+'Balance Sheet'!B5)</f>
        <v>2.1636939010356726</v>
      </c>
      <c r="C16" s="564">
        <f>'Balance Sheet'!C8/('Balance Sheet'!C4+'Balance Sheet'!C5)</f>
        <v>1.9497916889221238</v>
      </c>
      <c r="D16" s="564">
        <f>'Balance Sheet'!D8/('Balance Sheet'!D4+'Balance Sheet'!D5)</f>
        <v>1.9832134292565948</v>
      </c>
      <c r="E16" s="564">
        <f>'Balance Sheet'!E8/('Balance Sheet'!E4+'Balance Sheet'!E5)</f>
        <v>2.2183549590688867</v>
      </c>
      <c r="F16" s="564">
        <f>'Balance Sheet'!F8/('Balance Sheet'!F4+'Balance Sheet'!F5)</f>
        <v>1.8002186286705117</v>
      </c>
      <c r="G16" s="564">
        <f>'Balance Sheet'!G8/('Balance Sheet'!G4+'Balance Sheet'!G5)</f>
        <v>1.4725986896568037</v>
      </c>
      <c r="H16" s="564">
        <f>'Balance Sheet'!H8/('Balance Sheet'!H4+'Balance Sheet'!H5)</f>
        <v>1.6817852758805198</v>
      </c>
      <c r="I16" s="564">
        <f>'Balance Sheet'!I8/('Balance Sheet'!I4+'Balance Sheet'!I5)</f>
        <v>1.4796796835614845</v>
      </c>
      <c r="J16" s="564">
        <f>'Balance Sheet'!J8/('Balance Sheet'!J4+'Balance Sheet'!J5)</f>
        <v>1.3390328037414179</v>
      </c>
      <c r="K16" s="565">
        <f>'Balance Sheet'!K8/('Balance Sheet'!K4+'Balance Sheet'!K5)</f>
        <v>1.3393009802804059</v>
      </c>
      <c r="M16" s="555">
        <f t="shared" si="1"/>
        <v>1.7427670040074421</v>
      </c>
      <c r="N16" s="556">
        <f t="shared" si="2"/>
        <v>1.3390328037414179</v>
      </c>
      <c r="O16" s="557">
        <f t="shared" si="3"/>
        <v>2.2183549590688867</v>
      </c>
      <c r="P16" s="711">
        <f>(M18-M14)/M18</f>
        <v>0.40126880574929813</v>
      </c>
      <c r="R16" s="357"/>
      <c r="AM16" t="s">
        <v>252</v>
      </c>
    </row>
    <row r="17" spans="1:39" ht="15.75" thickBot="1" x14ac:dyDescent="0.3">
      <c r="A17" s="175"/>
      <c r="B17" s="1"/>
      <c r="C17" s="1"/>
      <c r="D17" s="1"/>
      <c r="E17" s="1"/>
      <c r="F17" s="1"/>
      <c r="G17" s="1"/>
      <c r="H17" s="1"/>
      <c r="I17" s="1"/>
      <c r="J17" s="1"/>
      <c r="K17" s="222"/>
      <c r="M17" s="550"/>
      <c r="N17" s="547"/>
      <c r="O17" s="551"/>
      <c r="P17" s="713"/>
      <c r="R17" s="357"/>
      <c r="AM17" t="s">
        <v>257</v>
      </c>
    </row>
    <row r="18" spans="1:39" ht="15.75" thickBot="1" x14ac:dyDescent="0.3">
      <c r="A18" s="644" t="s">
        <v>238</v>
      </c>
      <c r="B18" s="308">
        <f>B14*B16</f>
        <v>4.8906789413118518E-2</v>
      </c>
      <c r="C18" s="308">
        <f t="shared" ref="C18:K18" si="5">C14*C16</f>
        <v>0.29964747356051707</v>
      </c>
      <c r="D18" s="308">
        <f t="shared" si="5"/>
        <v>0.24020783373301363</v>
      </c>
      <c r="E18" s="308">
        <f t="shared" si="5"/>
        <v>0.39210335802194124</v>
      </c>
      <c r="F18" s="308">
        <f t="shared" si="5"/>
        <v>0.43695578423611903</v>
      </c>
      <c r="G18" s="308">
        <f t="shared" si="5"/>
        <v>0.37252536720357626</v>
      </c>
      <c r="H18" s="308">
        <f t="shared" si="5"/>
        <v>0.33939756381605857</v>
      </c>
      <c r="I18" s="308">
        <f t="shared" si="5"/>
        <v>0.43284406871679526</v>
      </c>
      <c r="J18" s="308">
        <f t="shared" si="5"/>
        <v>0.22689807290457398</v>
      </c>
      <c r="K18" s="521">
        <f t="shared" si="5"/>
        <v>0.24684401003077625</v>
      </c>
      <c r="M18" s="558">
        <f t="shared" si="1"/>
        <v>0.3036330321636489</v>
      </c>
      <c r="N18" s="559">
        <f t="shared" si="2"/>
        <v>4.8906789413118518E-2</v>
      </c>
      <c r="O18" s="560">
        <f t="shared" si="3"/>
        <v>0.43695578423611903</v>
      </c>
      <c r="P18" s="712">
        <v>1</v>
      </c>
      <c r="R18" s="357"/>
      <c r="AM18" t="s">
        <v>256</v>
      </c>
    </row>
    <row r="19" spans="1:39" s="174" customFormat="1" ht="15.75" thickBot="1" x14ac:dyDescent="0.3">
      <c r="A19" s="181"/>
      <c r="B19" s="192"/>
      <c r="C19" s="192"/>
      <c r="D19" s="192"/>
      <c r="E19" s="192"/>
      <c r="F19" s="192"/>
      <c r="G19" s="192"/>
      <c r="H19" s="192"/>
      <c r="I19" s="192"/>
      <c r="J19" s="192"/>
      <c r="K19" s="192"/>
    </row>
    <row r="20" spans="1:39" s="174" customFormat="1" ht="21" x14ac:dyDescent="0.25">
      <c r="A20" s="1179" t="s">
        <v>246</v>
      </c>
      <c r="B20" s="1180"/>
      <c r="C20" s="1180"/>
      <c r="D20" s="1180"/>
      <c r="E20" s="1180"/>
      <c r="F20" s="1180"/>
      <c r="G20" s="1180"/>
      <c r="H20" s="1180"/>
      <c r="I20" s="1180"/>
      <c r="J20" s="1180"/>
      <c r="K20" s="1181"/>
    </row>
    <row r="21" spans="1:39" x14ac:dyDescent="0.25">
      <c r="A21" s="175"/>
      <c r="B21" s="2"/>
      <c r="C21" s="2"/>
      <c r="D21" s="2"/>
      <c r="E21" s="2"/>
      <c r="F21" s="2"/>
      <c r="G21" s="2"/>
      <c r="H21" s="2"/>
      <c r="I21" s="2"/>
      <c r="J21" s="2"/>
      <c r="K21" s="183"/>
    </row>
    <row r="22" spans="1:39" x14ac:dyDescent="0.25">
      <c r="A22" s="1165" t="s">
        <v>239</v>
      </c>
      <c r="B22" s="872"/>
      <c r="C22" s="872"/>
      <c r="D22" s="872"/>
      <c r="E22" s="872"/>
      <c r="F22" s="872"/>
      <c r="G22" s="872"/>
      <c r="H22" s="872"/>
      <c r="I22" s="872"/>
      <c r="J22" s="872"/>
      <c r="K22" s="316"/>
    </row>
    <row r="23" spans="1:39" x14ac:dyDescent="0.25">
      <c r="A23" s="203"/>
      <c r="B23" s="204"/>
      <c r="C23" s="204"/>
      <c r="D23" s="204"/>
      <c r="E23" s="204"/>
      <c r="F23" s="176"/>
      <c r="G23" s="2"/>
      <c r="H23" s="2"/>
      <c r="I23" s="2"/>
      <c r="J23" s="2"/>
      <c r="K23" s="183"/>
    </row>
    <row r="24" spans="1:39" x14ac:dyDescent="0.25">
      <c r="A24" s="1183" t="s">
        <v>233</v>
      </c>
      <c r="B24" s="1183"/>
      <c r="C24" s="189">
        <f t="shared" ref="C24:K24" si="6">C8</f>
        <v>40999</v>
      </c>
      <c r="D24" s="189">
        <f t="shared" si="6"/>
        <v>41364</v>
      </c>
      <c r="E24" s="189">
        <f t="shared" si="6"/>
        <v>41729</v>
      </c>
      <c r="F24" s="189">
        <f t="shared" si="6"/>
        <v>42094</v>
      </c>
      <c r="G24" s="189">
        <f t="shared" si="6"/>
        <v>42460</v>
      </c>
      <c r="H24" s="189">
        <f t="shared" si="6"/>
        <v>42825</v>
      </c>
      <c r="I24" s="189">
        <f t="shared" si="6"/>
        <v>43190</v>
      </c>
      <c r="J24" s="189">
        <f t="shared" si="6"/>
        <v>43555</v>
      </c>
      <c r="K24" s="205">
        <f t="shared" si="6"/>
        <v>43921</v>
      </c>
    </row>
    <row r="25" spans="1:39" x14ac:dyDescent="0.25">
      <c r="A25" s="206"/>
      <c r="C25" s="99"/>
      <c r="D25" s="99"/>
      <c r="E25" s="99"/>
      <c r="F25" s="99"/>
      <c r="G25" s="99"/>
      <c r="H25" s="99"/>
      <c r="I25" s="99"/>
      <c r="J25" s="99"/>
      <c r="K25" s="207"/>
    </row>
    <row r="26" spans="1:39" x14ac:dyDescent="0.25">
      <c r="A26" s="871" t="s">
        <v>240</v>
      </c>
      <c r="B26" s="871"/>
      <c r="C26" s="190">
        <f>'Cash Flow'!C4</f>
        <v>50.38</v>
      </c>
      <c r="D26" s="190">
        <f>'Cash Flow'!D4</f>
        <v>-20.55</v>
      </c>
      <c r="E26" s="190">
        <f>'Cash Flow'!E4</f>
        <v>55.56</v>
      </c>
      <c r="F26" s="190">
        <f>'Cash Flow'!F4</f>
        <v>89.34</v>
      </c>
      <c r="G26" s="190">
        <f>'Cash Flow'!G4</f>
        <v>122</v>
      </c>
      <c r="H26" s="190">
        <f>'Cash Flow'!H4</f>
        <v>277.75</v>
      </c>
      <c r="I26" s="190">
        <f>'Cash Flow'!I4</f>
        <v>280.93</v>
      </c>
      <c r="J26" s="190">
        <f>'Cash Flow'!J4</f>
        <v>183.76</v>
      </c>
      <c r="K26" s="208">
        <f>'Cash Flow'!K4</f>
        <v>125.09</v>
      </c>
    </row>
    <row r="27" spans="1:39" x14ac:dyDescent="0.25">
      <c r="A27" s="206"/>
      <c r="C27" s="99"/>
      <c r="D27" s="99"/>
      <c r="E27" s="99"/>
      <c r="F27" s="99"/>
      <c r="G27" s="99"/>
      <c r="H27" s="99"/>
      <c r="I27" s="99"/>
      <c r="J27" s="99"/>
      <c r="K27" s="207"/>
    </row>
    <row r="28" spans="1:39" x14ac:dyDescent="0.25">
      <c r="A28" s="871" t="s">
        <v>241</v>
      </c>
      <c r="B28" s="871"/>
      <c r="C28" s="187">
        <f>'Cash Flow'!C11</f>
        <v>10.860000000000007</v>
      </c>
      <c r="D28" s="187">
        <f>'Cash Flow'!D11</f>
        <v>12.66</v>
      </c>
      <c r="E28" s="187">
        <f>'Cash Flow'!E11</f>
        <v>35.42</v>
      </c>
      <c r="F28" s="187">
        <f>'Cash Flow'!F11</f>
        <v>16.049999999999986</v>
      </c>
      <c r="G28" s="187">
        <f>'Cash Flow'!G11</f>
        <v>66.27</v>
      </c>
      <c r="H28" s="187">
        <f>'Cash Flow'!H11</f>
        <v>122.62</v>
      </c>
      <c r="I28" s="187">
        <f>'Cash Flow'!I11</f>
        <v>83.330000000000027</v>
      </c>
      <c r="J28" s="187">
        <f>'Cash Flow'!J11</f>
        <v>23.269999999999953</v>
      </c>
      <c r="K28" s="209">
        <f>'Cash Flow'!K11</f>
        <v>32.930000000000028</v>
      </c>
    </row>
    <row r="29" spans="1:39" x14ac:dyDescent="0.25">
      <c r="A29" s="175"/>
      <c r="C29" s="2"/>
      <c r="D29" s="2"/>
      <c r="E29" s="2"/>
      <c r="F29" s="2"/>
      <c r="G29" s="2"/>
      <c r="H29" s="2"/>
      <c r="I29" s="2"/>
      <c r="J29" s="2"/>
      <c r="K29" s="183"/>
    </row>
    <row r="30" spans="1:39" x14ac:dyDescent="0.25">
      <c r="A30" s="1165" t="s">
        <v>242</v>
      </c>
      <c r="B30" s="872"/>
      <c r="C30" s="221">
        <f t="shared" ref="C30:K30" si="7">C26-C28</f>
        <v>39.519999999999996</v>
      </c>
      <c r="D30" s="384">
        <f t="shared" si="7"/>
        <v>-33.21</v>
      </c>
      <c r="E30" s="384">
        <f t="shared" si="7"/>
        <v>20.14</v>
      </c>
      <c r="F30" s="384">
        <f t="shared" si="7"/>
        <v>73.29000000000002</v>
      </c>
      <c r="G30" s="384">
        <f t="shared" si="7"/>
        <v>55.730000000000004</v>
      </c>
      <c r="H30" s="384">
        <f t="shared" si="7"/>
        <v>155.13</v>
      </c>
      <c r="I30" s="384">
        <f t="shared" si="7"/>
        <v>197.59999999999997</v>
      </c>
      <c r="J30" s="384">
        <f t="shared" si="7"/>
        <v>160.49000000000004</v>
      </c>
      <c r="K30" s="384">
        <f t="shared" si="7"/>
        <v>92.159999999999968</v>
      </c>
    </row>
    <row r="31" spans="1:39" x14ac:dyDescent="0.25">
      <c r="A31" s="175"/>
      <c r="C31" s="1"/>
      <c r="D31" s="1"/>
      <c r="E31" s="1"/>
      <c r="F31" s="1"/>
      <c r="G31" s="1"/>
      <c r="H31" s="1"/>
      <c r="I31" s="1"/>
      <c r="J31" s="1"/>
      <c r="K31" s="222"/>
    </row>
    <row r="32" spans="1:39" ht="15.75" thickBot="1" x14ac:dyDescent="0.3">
      <c r="A32" s="1165" t="s">
        <v>243</v>
      </c>
      <c r="B32" s="872"/>
      <c r="C32" s="315">
        <f>C30/'Income statement'!C3</f>
        <v>0.10322850276878069</v>
      </c>
      <c r="D32" s="315">
        <f>D30/'Income statement'!D3</f>
        <v>-5.302316670125972E-2</v>
      </c>
      <c r="E32" s="315">
        <f>E30/'Income statement'!E3</f>
        <v>1.8421798823712351E-2</v>
      </c>
      <c r="F32" s="315">
        <f>F30/'Income statement'!F3</f>
        <v>4.2893512422087623E-2</v>
      </c>
      <c r="G32" s="315">
        <f>G30/'Income statement'!G3</f>
        <v>2.8796271417646697E-2</v>
      </c>
      <c r="H32" s="315">
        <f>H30/'Income statement'!H3</f>
        <v>5.9306353077905299E-2</v>
      </c>
      <c r="I32" s="315">
        <f>I30/'Income statement'!I3</f>
        <v>5.8239264346134564E-2</v>
      </c>
      <c r="J32" s="315">
        <f>J30/'Income statement'!J3</f>
        <v>4.6014943603094237E-2</v>
      </c>
      <c r="K32" s="315">
        <f>K30/'Income statement'!K3</f>
        <v>2.2394533556565871E-2</v>
      </c>
    </row>
    <row r="33" spans="1:11" x14ac:dyDescent="0.25">
      <c r="A33" s="191"/>
      <c r="C33" s="192"/>
      <c r="D33" s="192"/>
      <c r="E33" s="192"/>
      <c r="I33" s="1182" t="s">
        <v>244</v>
      </c>
      <c r="J33" s="1182"/>
      <c r="K33" s="1182"/>
    </row>
    <row r="34" spans="1:11" x14ac:dyDescent="0.25">
      <c r="A34" s="191"/>
      <c r="B34" s="192"/>
      <c r="C34" s="192"/>
      <c r="D34" s="192"/>
      <c r="E34" s="192"/>
      <c r="I34" s="214"/>
      <c r="J34" s="214"/>
      <c r="K34" s="214"/>
    </row>
    <row r="35" spans="1:11" ht="15.75" thickBot="1" x14ac:dyDescent="0.3"/>
    <row r="36" spans="1:11" ht="21.75" thickBot="1" x14ac:dyDescent="0.4">
      <c r="A36" s="191"/>
      <c r="B36" s="192"/>
      <c r="C36" s="192"/>
      <c r="D36" s="1167" t="s">
        <v>247</v>
      </c>
      <c r="E36" s="1168"/>
      <c r="F36" s="1168"/>
      <c r="G36" s="1168"/>
      <c r="H36" s="1168"/>
      <c r="I36" s="1168"/>
      <c r="J36" s="1168"/>
      <c r="K36" s="1169"/>
    </row>
    <row r="37" spans="1:11" ht="15.75" thickBot="1" x14ac:dyDescent="0.3">
      <c r="A37" s="191"/>
      <c r="B37" s="192"/>
      <c r="C37" s="192"/>
      <c r="D37" s="192"/>
      <c r="E37" s="192"/>
    </row>
    <row r="38" spans="1:11" ht="15.75" thickBot="1" x14ac:dyDescent="0.3">
      <c r="A38" s="215" t="s">
        <v>248</v>
      </c>
      <c r="B38" s="733">
        <f>AVERAGE(G32:K32)</f>
        <v>4.2950273200269333E-2</v>
      </c>
      <c r="C38" s="218" t="s">
        <v>249</v>
      </c>
      <c r="D38" s="447"/>
      <c r="E38" s="448"/>
      <c r="F38" s="448"/>
      <c r="G38" s="449"/>
      <c r="H38" s="1184" t="s">
        <v>250</v>
      </c>
      <c r="I38" s="1061"/>
      <c r="J38" s="1061"/>
      <c r="K38" s="1185"/>
    </row>
    <row r="39" spans="1:11" x14ac:dyDescent="0.25">
      <c r="A39" s="191"/>
      <c r="B39" s="192"/>
      <c r="C39" s="192"/>
      <c r="D39" s="450"/>
      <c r="E39" s="451"/>
      <c r="F39" s="451"/>
      <c r="G39" s="452"/>
      <c r="H39" s="227"/>
      <c r="I39" s="223"/>
      <c r="J39" s="231"/>
      <c r="K39" s="232"/>
    </row>
    <row r="40" spans="1:11" ht="15.75" thickBot="1" x14ac:dyDescent="0.3">
      <c r="A40" s="191"/>
      <c r="B40" s="192"/>
      <c r="C40" s="192"/>
      <c r="D40" s="1149" t="s">
        <v>261</v>
      </c>
      <c r="E40" s="1150"/>
      <c r="F40" s="1150"/>
      <c r="G40" s="1151"/>
      <c r="H40" s="1170" t="s">
        <v>262</v>
      </c>
      <c r="I40" s="1171"/>
      <c r="J40" s="1171"/>
      <c r="K40" s="1172"/>
    </row>
    <row r="41" spans="1:11" ht="15.75" thickBot="1" x14ac:dyDescent="0.3">
      <c r="A41" s="215" t="s">
        <v>251</v>
      </c>
      <c r="B41" s="734">
        <f>AVERAGE(G18:K18)</f>
        <v>0.32370181653435609</v>
      </c>
      <c r="C41" s="192"/>
      <c r="D41" s="450"/>
      <c r="E41" s="451"/>
      <c r="F41" s="453"/>
      <c r="G41" s="454"/>
      <c r="H41" s="233"/>
      <c r="I41" s="234"/>
      <c r="J41" s="234"/>
      <c r="K41" s="232"/>
    </row>
    <row r="42" spans="1:11" x14ac:dyDescent="0.25">
      <c r="A42" s="191"/>
      <c r="B42" s="192"/>
      <c r="C42" s="192"/>
      <c r="D42" s="1149" t="s">
        <v>252</v>
      </c>
      <c r="E42" s="1150"/>
      <c r="F42" s="1150"/>
      <c r="G42" s="1151"/>
      <c r="H42" s="1062" t="s">
        <v>253</v>
      </c>
      <c r="I42" s="1063"/>
      <c r="J42" s="1063"/>
      <c r="K42" s="1064"/>
    </row>
    <row r="43" spans="1:11" x14ac:dyDescent="0.25">
      <c r="A43" s="191"/>
      <c r="B43" s="1166" t="s">
        <v>254</v>
      </c>
      <c r="C43" s="1166"/>
      <c r="D43" s="450"/>
      <c r="E43" s="451"/>
      <c r="F43" s="453"/>
      <c r="G43" s="455"/>
      <c r="H43" s="233"/>
      <c r="I43" s="234"/>
      <c r="J43" s="231"/>
      <c r="K43" s="232"/>
    </row>
    <row r="44" spans="1:11" ht="15.75" thickBot="1" x14ac:dyDescent="0.3">
      <c r="A44" s="191"/>
      <c r="B44" s="192"/>
      <c r="C44" s="192"/>
      <c r="D44" s="456"/>
      <c r="E44" s="457"/>
      <c r="F44" s="457"/>
      <c r="G44" s="458"/>
      <c r="H44" s="235"/>
      <c r="I44" s="236"/>
      <c r="J44" s="237"/>
      <c r="K44" s="238"/>
    </row>
    <row r="45" spans="1:11" x14ac:dyDescent="0.25">
      <c r="A45" s="191"/>
      <c r="B45" s="192"/>
      <c r="C45" s="192"/>
      <c r="D45" s="1162" t="s">
        <v>255</v>
      </c>
      <c r="E45" s="1163"/>
      <c r="F45" s="1163"/>
      <c r="G45" s="1164"/>
      <c r="H45" s="228"/>
      <c r="I45" s="225"/>
      <c r="J45" s="239"/>
      <c r="K45" s="240"/>
    </row>
    <row r="46" spans="1:11" x14ac:dyDescent="0.25">
      <c r="A46" s="191"/>
      <c r="B46" s="192"/>
      <c r="C46" s="192"/>
      <c r="D46" s="226"/>
      <c r="E46" s="216"/>
      <c r="F46" s="216"/>
      <c r="G46" s="230"/>
      <c r="H46" s="228"/>
      <c r="I46" s="225"/>
      <c r="J46" s="239"/>
      <c r="K46" s="240"/>
    </row>
    <row r="47" spans="1:11" x14ac:dyDescent="0.25">
      <c r="A47" s="191"/>
      <c r="B47" s="192"/>
      <c r="C47" s="192"/>
      <c r="D47" s="1156" t="s">
        <v>264</v>
      </c>
      <c r="E47" s="1157"/>
      <c r="F47" s="1157"/>
      <c r="G47" s="1158"/>
      <c r="H47" s="1159" t="s">
        <v>263</v>
      </c>
      <c r="I47" s="1160"/>
      <c r="J47" s="1160"/>
      <c r="K47" s="1161"/>
    </row>
    <row r="48" spans="1:11" x14ac:dyDescent="0.25">
      <c r="A48" s="191"/>
      <c r="B48" s="192"/>
      <c r="C48" s="192"/>
      <c r="D48" s="226"/>
      <c r="E48" s="216"/>
      <c r="F48" s="224"/>
      <c r="G48" s="230"/>
      <c r="H48" s="229"/>
      <c r="I48" s="217"/>
      <c r="J48" s="217"/>
      <c r="K48" s="240"/>
    </row>
    <row r="49" spans="1:14" x14ac:dyDescent="0.25">
      <c r="A49" s="191"/>
      <c r="B49" s="192"/>
      <c r="C49" s="192"/>
      <c r="D49" s="1156" t="s">
        <v>256</v>
      </c>
      <c r="E49" s="1157"/>
      <c r="F49" s="1157"/>
      <c r="G49" s="1158"/>
      <c r="H49" s="1071" t="s">
        <v>257</v>
      </c>
      <c r="I49" s="1072"/>
      <c r="J49" s="1072"/>
      <c r="K49" s="1073"/>
    </row>
    <row r="50" spans="1:14" x14ac:dyDescent="0.25">
      <c r="A50" s="191"/>
      <c r="B50" s="192"/>
      <c r="C50" s="192"/>
      <c r="D50" s="226"/>
      <c r="E50" s="216"/>
      <c r="F50" s="224"/>
      <c r="G50" s="241"/>
      <c r="H50" s="229"/>
      <c r="I50" s="217"/>
      <c r="J50" s="239"/>
      <c r="K50" s="240"/>
    </row>
    <row r="51" spans="1:14" ht="15.75" thickBot="1" x14ac:dyDescent="0.3">
      <c r="A51" s="191"/>
      <c r="B51" s="192"/>
      <c r="C51" s="219" t="s">
        <v>258</v>
      </c>
      <c r="D51" s="242"/>
      <c r="E51" s="243"/>
      <c r="F51" s="244"/>
      <c r="G51" s="245"/>
      <c r="H51" s="246"/>
      <c r="I51" s="247"/>
      <c r="J51" s="248"/>
      <c r="K51" s="249"/>
    </row>
    <row r="52" spans="1:14" ht="15.75" thickBot="1" x14ac:dyDescent="0.3">
      <c r="A52" s="191"/>
      <c r="B52" s="192"/>
      <c r="C52" s="192"/>
      <c r="D52" s="220"/>
      <c r="E52" s="210"/>
      <c r="F52" s="1155">
        <v>0.15</v>
      </c>
      <c r="G52" s="1155"/>
      <c r="H52" s="1155"/>
      <c r="I52" s="1155"/>
    </row>
    <row r="53" spans="1:14" ht="15.75" thickBot="1" x14ac:dyDescent="0.3">
      <c r="A53" s="191"/>
      <c r="B53" s="192"/>
      <c r="C53" s="192"/>
      <c r="D53" s="210"/>
      <c r="E53" s="210"/>
      <c r="F53" s="1152" t="s">
        <v>259</v>
      </c>
      <c r="G53" s="1153"/>
      <c r="H53" s="1153"/>
      <c r="I53" s="1154"/>
    </row>
    <row r="54" spans="1:14" ht="15.75" thickBot="1" x14ac:dyDescent="0.3">
      <c r="A54" s="212"/>
      <c r="B54" s="192"/>
      <c r="C54" s="192"/>
      <c r="D54" s="210"/>
      <c r="E54" s="210"/>
      <c r="F54" s="213"/>
      <c r="G54" s="98"/>
      <c r="H54" s="211"/>
      <c r="I54" s="211"/>
    </row>
    <row r="55" spans="1:14" ht="21.75" thickBot="1" x14ac:dyDescent="0.4">
      <c r="A55" s="258" t="s">
        <v>260</v>
      </c>
      <c r="B55" s="1146" t="s">
        <v>253</v>
      </c>
      <c r="C55" s="1147"/>
      <c r="D55" s="1147"/>
      <c r="E55" s="1147"/>
      <c r="F55" s="1147"/>
      <c r="G55" s="1147"/>
      <c r="H55" s="1148"/>
      <c r="I55" s="211"/>
    </row>
    <row r="57" spans="1:14" ht="15.75" thickBot="1" x14ac:dyDescent="0.3"/>
    <row r="58" spans="1:14" ht="21.75" thickBot="1" x14ac:dyDescent="0.4">
      <c r="A58" s="714" t="s">
        <v>535</v>
      </c>
      <c r="B58" s="1140" t="s">
        <v>537</v>
      </c>
      <c r="C58" s="1140"/>
      <c r="D58" s="1141"/>
      <c r="G58" s="965" t="s">
        <v>538</v>
      </c>
      <c r="H58" s="967"/>
    </row>
    <row r="59" spans="1:14" ht="21.75" thickBot="1" x14ac:dyDescent="0.4">
      <c r="A59" s="714" t="s">
        <v>536</v>
      </c>
      <c r="B59" s="1142" t="s">
        <v>537</v>
      </c>
      <c r="C59" s="1142"/>
      <c r="D59" s="1143"/>
      <c r="G59" s="1144" t="s">
        <v>539</v>
      </c>
      <c r="H59" s="1145"/>
    </row>
    <row r="61" spans="1:14" ht="15.75" thickBot="1" x14ac:dyDescent="0.3"/>
    <row r="62" spans="1:14" ht="36.75" thickBot="1" x14ac:dyDescent="0.6">
      <c r="A62" s="1106" t="s">
        <v>541</v>
      </c>
      <c r="B62" s="1107"/>
      <c r="C62" s="1107"/>
      <c r="D62" s="1107"/>
      <c r="E62" s="1107"/>
      <c r="F62" s="1107"/>
      <c r="G62" s="1107"/>
      <c r="H62" s="1107"/>
      <c r="I62" s="1107"/>
      <c r="J62" s="1107"/>
      <c r="K62" s="1108"/>
      <c r="L62" s="722"/>
      <c r="M62" s="716"/>
      <c r="N62" s="716"/>
    </row>
    <row r="63" spans="1:14" ht="15.75" thickBot="1" x14ac:dyDescent="0.3">
      <c r="A63" s="175"/>
      <c r="B63" s="2"/>
      <c r="C63" s="2"/>
      <c r="D63" s="2"/>
      <c r="E63" s="2"/>
      <c r="F63" s="2"/>
      <c r="G63" s="2"/>
      <c r="H63" s="2"/>
      <c r="I63" s="2"/>
      <c r="J63" s="2"/>
      <c r="K63" s="2"/>
      <c r="L63" s="183"/>
    </row>
    <row r="64" spans="1:14" x14ac:dyDescent="0.25">
      <c r="A64" s="175"/>
      <c r="B64" s="1186" t="s">
        <v>553</v>
      </c>
      <c r="C64" s="1187"/>
      <c r="D64" s="1110" t="s">
        <v>542</v>
      </c>
      <c r="E64" s="1111"/>
      <c r="F64" s="1111"/>
      <c r="G64" s="1112"/>
      <c r="H64" s="1116" t="s">
        <v>543</v>
      </c>
      <c r="I64" s="1117"/>
      <c r="J64" s="1117"/>
      <c r="K64" s="1118"/>
      <c r="L64" s="183"/>
    </row>
    <row r="65" spans="1:12" x14ac:dyDescent="0.25">
      <c r="A65" s="175"/>
      <c r="B65" s="2"/>
      <c r="C65" s="2"/>
      <c r="D65" s="1113"/>
      <c r="E65" s="1114"/>
      <c r="F65" s="1114"/>
      <c r="G65" s="1115"/>
      <c r="H65" s="1119"/>
      <c r="I65" s="1120"/>
      <c r="J65" s="1120"/>
      <c r="K65" s="1121"/>
      <c r="L65" s="183"/>
    </row>
    <row r="66" spans="1:12" x14ac:dyDescent="0.25">
      <c r="A66" s="175"/>
      <c r="B66" s="1122"/>
      <c r="C66" s="1122"/>
      <c r="D66" s="1071" t="s">
        <v>549</v>
      </c>
      <c r="E66" s="1072"/>
      <c r="F66" s="1072"/>
      <c r="G66" s="1073"/>
      <c r="H66" s="1062" t="s">
        <v>549</v>
      </c>
      <c r="I66" s="1063"/>
      <c r="J66" s="1063"/>
      <c r="K66" s="1064"/>
      <c r="L66" s="183"/>
    </row>
    <row r="67" spans="1:12" x14ac:dyDescent="0.25">
      <c r="A67" s="175"/>
      <c r="B67" s="2"/>
      <c r="C67" s="2"/>
      <c r="D67" s="1071" t="s">
        <v>544</v>
      </c>
      <c r="E67" s="1072"/>
      <c r="F67" s="1072"/>
      <c r="G67" s="1073"/>
      <c r="H67" s="1062" t="s">
        <v>545</v>
      </c>
      <c r="I67" s="1063"/>
      <c r="J67" s="1063"/>
      <c r="K67" s="1064"/>
      <c r="L67" s="183"/>
    </row>
    <row r="68" spans="1:12" x14ac:dyDescent="0.25">
      <c r="A68" s="175"/>
      <c r="B68" s="2"/>
      <c r="C68" s="2"/>
      <c r="D68" s="1088" t="s">
        <v>550</v>
      </c>
      <c r="E68" s="1089"/>
      <c r="F68" s="1089"/>
      <c r="G68" s="1090"/>
      <c r="H68" s="1091" t="s">
        <v>551</v>
      </c>
      <c r="I68" s="1092"/>
      <c r="J68" s="1092"/>
      <c r="K68" s="1093"/>
      <c r="L68" s="183"/>
    </row>
    <row r="69" spans="1:12" ht="15.75" thickBot="1" x14ac:dyDescent="0.3">
      <c r="A69" s="175"/>
      <c r="B69" s="2"/>
      <c r="C69" s="2"/>
      <c r="D69" s="718"/>
      <c r="E69" s="239"/>
      <c r="F69" s="239"/>
      <c r="G69" s="240"/>
      <c r="H69" s="717"/>
      <c r="I69" s="231"/>
      <c r="J69" s="231"/>
      <c r="K69" s="232"/>
      <c r="L69" s="183"/>
    </row>
    <row r="70" spans="1:12" x14ac:dyDescent="0.25">
      <c r="A70" s="175"/>
      <c r="B70" s="1191" t="s">
        <v>555</v>
      </c>
      <c r="C70" s="1192"/>
      <c r="D70" s="718"/>
      <c r="E70" s="239"/>
      <c r="F70" s="239"/>
      <c r="G70" s="240"/>
      <c r="H70" s="717"/>
      <c r="I70" s="231"/>
      <c r="J70" s="231"/>
      <c r="K70" s="232"/>
      <c r="L70" s="183"/>
    </row>
    <row r="71" spans="1:12" ht="15.75" thickBot="1" x14ac:dyDescent="0.3">
      <c r="A71" s="175"/>
      <c r="B71" s="1193"/>
      <c r="C71" s="1194"/>
      <c r="D71" s="1094"/>
      <c r="E71" s="1095"/>
      <c r="F71" s="1095"/>
      <c r="G71" s="1096"/>
      <c r="H71" s="1097"/>
      <c r="I71" s="1098"/>
      <c r="J71" s="1098"/>
      <c r="K71" s="1099"/>
      <c r="L71" s="183"/>
    </row>
    <row r="72" spans="1:12" ht="15.75" thickBot="1" x14ac:dyDescent="0.3">
      <c r="A72" s="175"/>
      <c r="B72" s="1195"/>
      <c r="C72" s="1196"/>
      <c r="D72" s="1100" t="s">
        <v>546</v>
      </c>
      <c r="E72" s="1101"/>
      <c r="F72" s="1101"/>
      <c r="G72" s="1101"/>
      <c r="H72" s="1103" t="s">
        <v>547</v>
      </c>
      <c r="I72" s="1104"/>
      <c r="J72" s="1104"/>
      <c r="K72" s="1105"/>
      <c r="L72" s="183"/>
    </row>
    <row r="73" spans="1:12" x14ac:dyDescent="0.25">
      <c r="A73" s="175"/>
      <c r="B73" s="1197" t="s">
        <v>556</v>
      </c>
      <c r="C73" s="1198"/>
      <c r="D73" s="1100"/>
      <c r="E73" s="1101"/>
      <c r="F73" s="1101"/>
      <c r="G73" s="1101"/>
      <c r="H73" s="1103"/>
      <c r="I73" s="1104"/>
      <c r="J73" s="1104"/>
      <c r="K73" s="1105"/>
      <c r="L73" s="183"/>
    </row>
    <row r="74" spans="1:12" x14ac:dyDescent="0.25">
      <c r="A74" s="723"/>
      <c r="B74" s="1199" t="s">
        <v>557</v>
      </c>
      <c r="C74" s="1200"/>
      <c r="D74" s="735"/>
      <c r="E74" s="736"/>
      <c r="F74" s="736"/>
      <c r="G74" s="736"/>
      <c r="H74" s="719"/>
      <c r="I74" s="720"/>
      <c r="J74" s="720"/>
      <c r="K74" s="721"/>
      <c r="L74" s="183"/>
    </row>
    <row r="75" spans="1:12" x14ac:dyDescent="0.25">
      <c r="A75" s="723"/>
      <c r="B75" s="1199" t="s">
        <v>558</v>
      </c>
      <c r="C75" s="1200"/>
      <c r="D75" s="1065" t="s">
        <v>552</v>
      </c>
      <c r="E75" s="1066"/>
      <c r="F75" s="1066"/>
      <c r="G75" s="1067"/>
      <c r="H75" s="1077" t="s">
        <v>551</v>
      </c>
      <c r="I75" s="1086"/>
      <c r="J75" s="1086"/>
      <c r="K75" s="1087"/>
      <c r="L75" s="183"/>
    </row>
    <row r="76" spans="1:12" ht="15.75" thickBot="1" x14ac:dyDescent="0.3">
      <c r="A76" s="175"/>
      <c r="B76" s="1201" t="s">
        <v>559</v>
      </c>
      <c r="C76" s="1202"/>
      <c r="D76" s="1065" t="s">
        <v>545</v>
      </c>
      <c r="E76" s="1066"/>
      <c r="F76" s="1066"/>
      <c r="G76" s="1067"/>
      <c r="H76" s="1068" t="s">
        <v>544</v>
      </c>
      <c r="I76" s="1069"/>
      <c r="J76" s="1069"/>
      <c r="K76" s="1070"/>
      <c r="L76" s="183"/>
    </row>
    <row r="77" spans="1:12" x14ac:dyDescent="0.25">
      <c r="A77" s="175"/>
      <c r="B77" s="2"/>
      <c r="C77" s="2"/>
      <c r="D77" s="1074" t="s">
        <v>550</v>
      </c>
      <c r="E77" s="1075"/>
      <c r="F77" s="1075"/>
      <c r="G77" s="1076"/>
      <c r="H77" s="1068" t="s">
        <v>552</v>
      </c>
      <c r="I77" s="1069"/>
      <c r="J77" s="1069"/>
      <c r="K77" s="1070"/>
      <c r="L77" s="183"/>
    </row>
    <row r="78" spans="1:12" x14ac:dyDescent="0.25">
      <c r="A78" s="175"/>
      <c r="B78" s="2"/>
      <c r="C78" s="2"/>
      <c r="D78" s="735"/>
      <c r="E78" s="736"/>
      <c r="F78" s="736"/>
      <c r="G78" s="736"/>
      <c r="H78" s="719"/>
      <c r="I78" s="720"/>
      <c r="J78" s="720"/>
      <c r="K78" s="721"/>
      <c r="L78" s="183"/>
    </row>
    <row r="79" spans="1:12" ht="15.75" thickBot="1" x14ac:dyDescent="0.3">
      <c r="A79" s="175"/>
      <c r="B79" s="2"/>
      <c r="C79" s="724" t="s">
        <v>554</v>
      </c>
      <c r="D79" s="1132"/>
      <c r="E79" s="1133"/>
      <c r="F79" s="1133"/>
      <c r="G79" s="1133"/>
      <c r="H79" s="1081"/>
      <c r="I79" s="1082"/>
      <c r="J79" s="1082"/>
      <c r="K79" s="1083"/>
      <c r="L79" s="183"/>
    </row>
    <row r="80" spans="1:12" x14ac:dyDescent="0.25">
      <c r="A80" s="175"/>
      <c r="B80" s="2"/>
      <c r="C80" s="2"/>
      <c r="D80" s="1" t="s">
        <v>554</v>
      </c>
      <c r="E80" s="2"/>
      <c r="F80" s="1061" t="s">
        <v>548</v>
      </c>
      <c r="G80" s="1061"/>
      <c r="H80" s="1061"/>
      <c r="I80" s="1061"/>
      <c r="J80" s="1138" t="s">
        <v>553</v>
      </c>
      <c r="K80" s="1138"/>
      <c r="L80" s="183"/>
    </row>
    <row r="81" spans="1:19" x14ac:dyDescent="0.25">
      <c r="A81" s="175"/>
      <c r="B81" s="2"/>
      <c r="C81" s="2"/>
      <c r="D81" s="2"/>
      <c r="E81" s="2"/>
      <c r="F81" s="2"/>
      <c r="G81" s="2"/>
      <c r="H81" s="2"/>
      <c r="I81" s="2"/>
      <c r="J81" s="2"/>
      <c r="K81" s="2"/>
      <c r="L81" s="183"/>
    </row>
    <row r="82" spans="1:19" ht="15.75" thickBot="1" x14ac:dyDescent="0.3">
      <c r="A82" s="175"/>
      <c r="B82" s="2"/>
      <c r="C82" s="2"/>
      <c r="D82" s="2"/>
      <c r="E82" s="2"/>
      <c r="F82" s="2"/>
      <c r="G82" s="2"/>
      <c r="H82" s="2"/>
      <c r="I82" s="2"/>
      <c r="J82" s="2"/>
      <c r="K82" s="2"/>
      <c r="L82" s="183"/>
    </row>
    <row r="83" spans="1:19" ht="34.5" thickBot="1" x14ac:dyDescent="0.55000000000000004">
      <c r="A83" s="1053" t="s">
        <v>574</v>
      </c>
      <c r="B83" s="1054"/>
      <c r="C83" s="1054"/>
      <c r="D83" s="1054"/>
      <c r="E83" s="1054"/>
      <c r="F83" s="1054"/>
      <c r="G83" s="1055"/>
      <c r="H83" s="1188" t="s">
        <v>546</v>
      </c>
      <c r="I83" s="1189"/>
      <c r="J83" s="1189"/>
      <c r="K83" s="1190"/>
      <c r="L83" s="183"/>
    </row>
    <row r="84" spans="1:19" ht="15.75" thickBot="1" x14ac:dyDescent="0.3">
      <c r="A84" s="725"/>
      <c r="B84" s="386"/>
      <c r="C84" s="386"/>
      <c r="D84" s="386"/>
      <c r="E84" s="386"/>
      <c r="F84" s="386"/>
      <c r="G84" s="386"/>
      <c r="H84" s="386"/>
      <c r="I84" s="386"/>
      <c r="J84" s="386"/>
      <c r="K84" s="386"/>
      <c r="L84" s="573"/>
    </row>
    <row r="85" spans="1:19" ht="15.75" thickBot="1" x14ac:dyDescent="0.3"/>
    <row r="86" spans="1:19" ht="36.75" thickBot="1" x14ac:dyDescent="0.6">
      <c r="A86" s="1106" t="s">
        <v>560</v>
      </c>
      <c r="B86" s="1107"/>
      <c r="C86" s="1107"/>
      <c r="D86" s="1107"/>
      <c r="E86" s="1107"/>
      <c r="F86" s="1107"/>
      <c r="G86" s="1107"/>
      <c r="H86" s="1107"/>
      <c r="I86" s="1107"/>
      <c r="J86" s="1107"/>
      <c r="K86" s="1108"/>
      <c r="L86" s="731"/>
    </row>
    <row r="87" spans="1:19" ht="15.75" thickBot="1" x14ac:dyDescent="0.3">
      <c r="A87" s="175"/>
      <c r="B87" s="2"/>
      <c r="C87" s="2"/>
      <c r="D87" s="2"/>
      <c r="E87" s="2"/>
      <c r="F87" s="2"/>
      <c r="G87" s="2"/>
      <c r="H87" s="2"/>
      <c r="I87" s="2"/>
      <c r="J87" s="2"/>
      <c r="K87" s="2"/>
      <c r="L87" s="183"/>
    </row>
    <row r="88" spans="1:19" x14ac:dyDescent="0.25">
      <c r="A88" s="175"/>
      <c r="B88" s="1109" t="s">
        <v>249</v>
      </c>
      <c r="C88" s="1109"/>
      <c r="D88" s="1110" t="s">
        <v>566</v>
      </c>
      <c r="E88" s="1111"/>
      <c r="F88" s="1111"/>
      <c r="G88" s="1112"/>
      <c r="H88" s="1116" t="s">
        <v>561</v>
      </c>
      <c r="I88" s="1117"/>
      <c r="J88" s="1117"/>
      <c r="K88" s="1118"/>
      <c r="L88" s="183"/>
    </row>
    <row r="89" spans="1:19" x14ac:dyDescent="0.25">
      <c r="A89" s="175"/>
      <c r="B89" s="2"/>
      <c r="C89" s="2"/>
      <c r="D89" s="1113"/>
      <c r="E89" s="1114"/>
      <c r="F89" s="1114"/>
      <c r="G89" s="1115"/>
      <c r="H89" s="1119"/>
      <c r="I89" s="1120"/>
      <c r="J89" s="1120"/>
      <c r="K89" s="1121"/>
      <c r="L89" s="183"/>
    </row>
    <row r="90" spans="1:19" x14ac:dyDescent="0.25">
      <c r="A90" s="175"/>
      <c r="B90" s="1122"/>
      <c r="C90" s="1122"/>
      <c r="D90" s="1071" t="s">
        <v>562</v>
      </c>
      <c r="E90" s="1072"/>
      <c r="F90" s="1072"/>
      <c r="G90" s="1073"/>
      <c r="H90" s="1062" t="s">
        <v>562</v>
      </c>
      <c r="I90" s="1063"/>
      <c r="J90" s="1063"/>
      <c r="K90" s="1064"/>
      <c r="L90" s="183"/>
    </row>
    <row r="91" spans="1:19" x14ac:dyDescent="0.25">
      <c r="A91" s="175"/>
      <c r="B91" s="2"/>
      <c r="C91" s="2"/>
      <c r="D91" s="1071" t="s">
        <v>544</v>
      </c>
      <c r="E91" s="1072"/>
      <c r="F91" s="1072"/>
      <c r="G91" s="1073"/>
      <c r="H91" s="1062" t="s">
        <v>545</v>
      </c>
      <c r="I91" s="1063"/>
      <c r="J91" s="1063"/>
      <c r="K91" s="1064"/>
      <c r="L91" s="183"/>
    </row>
    <row r="92" spans="1:19" x14ac:dyDescent="0.25">
      <c r="A92" s="175"/>
      <c r="B92" s="2"/>
      <c r="C92" s="2"/>
      <c r="D92" s="1088" t="s">
        <v>564</v>
      </c>
      <c r="E92" s="1089"/>
      <c r="F92" s="1089"/>
      <c r="G92" s="1090"/>
      <c r="H92" s="1091" t="s">
        <v>563</v>
      </c>
      <c r="I92" s="1092"/>
      <c r="J92" s="1092"/>
      <c r="K92" s="1093"/>
      <c r="L92" s="183"/>
    </row>
    <row r="93" spans="1:19" x14ac:dyDescent="0.25">
      <c r="A93" s="175"/>
      <c r="B93" s="2"/>
      <c r="C93" s="2"/>
      <c r="D93" s="718"/>
      <c r="E93" s="239"/>
      <c r="F93" s="239"/>
      <c r="G93" s="240"/>
      <c r="H93" s="717"/>
      <c r="I93" s="231"/>
      <c r="J93" s="231"/>
      <c r="K93" s="232"/>
      <c r="L93" s="183"/>
    </row>
    <row r="94" spans="1:19" ht="15" customHeight="1" x14ac:dyDescent="0.25">
      <c r="A94" s="175"/>
      <c r="B94" s="726"/>
      <c r="C94" s="726"/>
      <c r="D94" s="718"/>
      <c r="E94" s="239"/>
      <c r="F94" s="239"/>
      <c r="G94" s="240"/>
      <c r="H94" s="717"/>
      <c r="I94" s="231"/>
      <c r="J94" s="231"/>
      <c r="K94" s="232"/>
      <c r="L94" s="183"/>
    </row>
    <row r="95" spans="1:19" ht="15.75" thickBot="1" x14ac:dyDescent="0.3">
      <c r="A95" s="175"/>
      <c r="B95" s="1135" t="s">
        <v>569</v>
      </c>
      <c r="C95" s="1136"/>
      <c r="D95" s="1094"/>
      <c r="E95" s="1095"/>
      <c r="F95" s="1095"/>
      <c r="G95" s="1096"/>
      <c r="H95" s="1097"/>
      <c r="I95" s="1098"/>
      <c r="J95" s="1098"/>
      <c r="K95" s="1099"/>
      <c r="L95" s="183"/>
    </row>
    <row r="96" spans="1:19" ht="15.75" thickBot="1" x14ac:dyDescent="0.3">
      <c r="A96" s="175"/>
      <c r="B96" s="1135"/>
      <c r="C96" s="1136"/>
      <c r="D96" s="1100" t="s">
        <v>568</v>
      </c>
      <c r="E96" s="1101"/>
      <c r="F96" s="1101"/>
      <c r="G96" s="1102"/>
      <c r="H96" s="1103" t="s">
        <v>567</v>
      </c>
      <c r="I96" s="1104"/>
      <c r="J96" s="1104"/>
      <c r="K96" s="1105"/>
      <c r="L96" s="183"/>
      <c r="Q96" s="2"/>
      <c r="R96" s="2"/>
      <c r="S96" s="2"/>
    </row>
    <row r="97" spans="1:19" x14ac:dyDescent="0.25">
      <c r="A97" s="1137" t="s">
        <v>571</v>
      </c>
      <c r="B97" s="1138"/>
      <c r="C97" s="1139"/>
      <c r="D97" s="1100"/>
      <c r="E97" s="1101"/>
      <c r="F97" s="1101"/>
      <c r="G97" s="1102"/>
      <c r="H97" s="1103"/>
      <c r="I97" s="1104"/>
      <c r="J97" s="1104"/>
      <c r="K97" s="1105"/>
      <c r="L97" s="183"/>
      <c r="Q97" s="2"/>
      <c r="R97" s="730"/>
      <c r="S97" s="2"/>
    </row>
    <row r="98" spans="1:19" x14ac:dyDescent="0.25">
      <c r="A98" s="1126" t="s">
        <v>592</v>
      </c>
      <c r="B98" s="1127"/>
      <c r="C98" s="1128"/>
      <c r="D98" s="735"/>
      <c r="E98" s="736"/>
      <c r="F98" s="736"/>
      <c r="G98" s="737"/>
      <c r="H98" s="719"/>
      <c r="I98" s="720"/>
      <c r="J98" s="720"/>
      <c r="K98" s="721"/>
      <c r="L98" s="183"/>
      <c r="Q98" s="2"/>
      <c r="R98" s="730"/>
      <c r="S98" s="2"/>
    </row>
    <row r="99" spans="1:19" ht="15.75" thickBot="1" x14ac:dyDescent="0.3">
      <c r="A99" s="1129" t="s">
        <v>593</v>
      </c>
      <c r="B99" s="1130"/>
      <c r="C99" s="1131"/>
      <c r="D99" s="1074" t="s">
        <v>565</v>
      </c>
      <c r="E99" s="1066"/>
      <c r="F99" s="1066"/>
      <c r="G99" s="1067"/>
      <c r="H99" s="1077" t="s">
        <v>565</v>
      </c>
      <c r="I99" s="1086"/>
      <c r="J99" s="1086"/>
      <c r="K99" s="1087"/>
      <c r="L99" s="183"/>
      <c r="Q99" s="2"/>
      <c r="R99" s="730"/>
      <c r="S99" s="2"/>
    </row>
    <row r="100" spans="1:19" x14ac:dyDescent="0.25">
      <c r="A100" s="175"/>
      <c r="B100" s="2"/>
      <c r="C100" s="727"/>
      <c r="D100" s="1065" t="s">
        <v>545</v>
      </c>
      <c r="E100" s="1066"/>
      <c r="F100" s="1066"/>
      <c r="G100" s="1067"/>
      <c r="H100" s="1068" t="s">
        <v>544</v>
      </c>
      <c r="I100" s="1069"/>
      <c r="J100" s="1069"/>
      <c r="K100" s="1070"/>
      <c r="L100" s="183"/>
      <c r="Q100" s="2"/>
      <c r="R100" s="727"/>
      <c r="S100" s="2"/>
    </row>
    <row r="101" spans="1:19" x14ac:dyDescent="0.25">
      <c r="A101" s="175"/>
      <c r="B101" s="2"/>
      <c r="C101" s="2"/>
      <c r="D101" s="1074" t="s">
        <v>564</v>
      </c>
      <c r="E101" s="1075"/>
      <c r="F101" s="1075"/>
      <c r="G101" s="1076"/>
      <c r="H101" s="1077" t="s">
        <v>563</v>
      </c>
      <c r="I101" s="1069"/>
      <c r="J101" s="1069"/>
      <c r="K101" s="1070"/>
      <c r="L101" s="183"/>
      <c r="Q101" s="2"/>
      <c r="R101" s="2"/>
      <c r="S101" s="2"/>
    </row>
    <row r="102" spans="1:19" x14ac:dyDescent="0.25">
      <c r="A102" s="175"/>
      <c r="B102" s="2"/>
      <c r="C102" s="2"/>
      <c r="D102" s="735"/>
      <c r="E102" s="736"/>
      <c r="F102" s="736"/>
      <c r="G102" s="737"/>
      <c r="H102" s="719"/>
      <c r="I102" s="720"/>
      <c r="J102" s="720"/>
      <c r="K102" s="721"/>
      <c r="L102" s="183"/>
    </row>
    <row r="103" spans="1:19" ht="15.75" thickBot="1" x14ac:dyDescent="0.3">
      <c r="A103" s="175"/>
      <c r="B103" s="2"/>
      <c r="C103" s="728" t="s">
        <v>258</v>
      </c>
      <c r="D103" s="1132"/>
      <c r="E103" s="1133"/>
      <c r="F103" s="1133"/>
      <c r="G103" s="1134"/>
      <c r="H103" s="1081"/>
      <c r="I103" s="1082"/>
      <c r="J103" s="1082"/>
      <c r="K103" s="1083"/>
      <c r="L103" s="183"/>
    </row>
    <row r="104" spans="1:19" x14ac:dyDescent="0.25">
      <c r="A104" s="175"/>
      <c r="B104" s="2"/>
      <c r="C104" s="2"/>
      <c r="D104" s="729" t="s">
        <v>258</v>
      </c>
      <c r="E104" s="2"/>
      <c r="F104" s="1061" t="s">
        <v>572</v>
      </c>
      <c r="G104" s="1061"/>
      <c r="H104" s="1061"/>
      <c r="I104" s="1061"/>
      <c r="J104" s="1084" t="s">
        <v>249</v>
      </c>
      <c r="K104" s="1084"/>
      <c r="L104" s="183"/>
    </row>
    <row r="105" spans="1:19" x14ac:dyDescent="0.25">
      <c r="A105" s="175"/>
      <c r="B105" s="2"/>
      <c r="C105" s="2"/>
      <c r="D105" s="2"/>
      <c r="E105" s="2"/>
      <c r="F105" s="2"/>
      <c r="G105" s="2"/>
      <c r="H105" s="2"/>
      <c r="I105" s="2"/>
      <c r="J105" s="2"/>
      <c r="K105" s="2"/>
      <c r="L105" s="183"/>
    </row>
    <row r="106" spans="1:19" ht="15.75" thickBot="1" x14ac:dyDescent="0.3">
      <c r="A106" s="175"/>
      <c r="B106" s="2"/>
      <c r="C106" s="2"/>
      <c r="D106" s="2"/>
      <c r="E106" s="2"/>
      <c r="F106" s="2"/>
      <c r="G106" s="2"/>
      <c r="H106" s="2"/>
      <c r="I106" s="2"/>
      <c r="J106" s="2"/>
      <c r="K106" s="2"/>
      <c r="L106" s="183"/>
    </row>
    <row r="107" spans="1:19" ht="34.5" thickBot="1" x14ac:dyDescent="0.55000000000000004">
      <c r="A107" s="1053" t="s">
        <v>573</v>
      </c>
      <c r="B107" s="1054"/>
      <c r="C107" s="1054"/>
      <c r="D107" s="1054"/>
      <c r="E107" s="1054"/>
      <c r="F107" s="1054"/>
      <c r="G107" s="1055"/>
      <c r="H107" s="1123" t="s">
        <v>561</v>
      </c>
      <c r="I107" s="1124"/>
      <c r="J107" s="1124"/>
      <c r="K107" s="1125"/>
      <c r="L107" s="183"/>
    </row>
    <row r="108" spans="1:19" ht="15.75" thickBot="1" x14ac:dyDescent="0.3">
      <c r="A108" s="725"/>
      <c r="B108" s="386"/>
      <c r="C108" s="386"/>
      <c r="D108" s="386"/>
      <c r="E108" s="386"/>
      <c r="F108" s="386"/>
      <c r="G108" s="386"/>
      <c r="H108" s="386"/>
      <c r="I108" s="386"/>
      <c r="J108" s="386"/>
      <c r="K108" s="386"/>
      <c r="L108" s="573"/>
    </row>
    <row r="109" spans="1:19" ht="15.75" thickBot="1" x14ac:dyDescent="0.3"/>
    <row r="110" spans="1:19" ht="36.75" thickBot="1" x14ac:dyDescent="0.6">
      <c r="A110" s="1106" t="s">
        <v>575</v>
      </c>
      <c r="B110" s="1107"/>
      <c r="C110" s="1107"/>
      <c r="D110" s="1107"/>
      <c r="E110" s="1107"/>
      <c r="F110" s="1107"/>
      <c r="G110" s="1107"/>
      <c r="H110" s="1107"/>
      <c r="I110" s="1107"/>
      <c r="J110" s="1107"/>
      <c r="K110" s="1108"/>
      <c r="L110" s="731"/>
    </row>
    <row r="111" spans="1:19" ht="15.75" thickBot="1" x14ac:dyDescent="0.3">
      <c r="A111" s="175"/>
      <c r="B111" s="2"/>
      <c r="C111" s="2"/>
      <c r="D111" s="2"/>
      <c r="E111" s="2"/>
      <c r="F111" s="2"/>
      <c r="G111" s="2"/>
      <c r="H111" s="2"/>
      <c r="I111" s="2"/>
      <c r="J111" s="2"/>
      <c r="K111" s="2"/>
      <c r="L111" s="183"/>
    </row>
    <row r="112" spans="1:19" x14ac:dyDescent="0.25">
      <c r="A112" s="175"/>
      <c r="B112" s="1109" t="s">
        <v>249</v>
      </c>
      <c r="C112" s="1109"/>
      <c r="D112" s="1110" t="s">
        <v>580</v>
      </c>
      <c r="E112" s="1111"/>
      <c r="F112" s="1111"/>
      <c r="G112" s="1112"/>
      <c r="H112" s="1116" t="s">
        <v>582</v>
      </c>
      <c r="I112" s="1117"/>
      <c r="J112" s="1117"/>
      <c r="K112" s="1118"/>
      <c r="L112" s="183"/>
    </row>
    <row r="113" spans="1:15" x14ac:dyDescent="0.25">
      <c r="A113" s="175"/>
      <c r="B113" s="2"/>
      <c r="C113" s="2"/>
      <c r="D113" s="1113"/>
      <c r="E113" s="1114"/>
      <c r="F113" s="1114"/>
      <c r="G113" s="1115"/>
      <c r="H113" s="1119"/>
      <c r="I113" s="1120"/>
      <c r="J113" s="1120"/>
      <c r="K113" s="1121"/>
      <c r="L113" s="183"/>
    </row>
    <row r="114" spans="1:15" x14ac:dyDescent="0.25">
      <c r="A114" s="175"/>
      <c r="B114" s="1122"/>
      <c r="C114" s="1122"/>
      <c r="D114" s="1071" t="s">
        <v>584</v>
      </c>
      <c r="E114" s="1072"/>
      <c r="F114" s="1072"/>
      <c r="G114" s="1073"/>
      <c r="H114" s="1062" t="s">
        <v>584</v>
      </c>
      <c r="I114" s="1063"/>
      <c r="J114" s="1063"/>
      <c r="K114" s="1064"/>
      <c r="L114" s="183"/>
    </row>
    <row r="115" spans="1:15" x14ac:dyDescent="0.25">
      <c r="A115" s="175"/>
      <c r="B115" s="2"/>
      <c r="C115" s="2"/>
      <c r="D115" s="1071" t="s">
        <v>544</v>
      </c>
      <c r="E115" s="1072"/>
      <c r="F115" s="1072"/>
      <c r="G115" s="1073"/>
      <c r="H115" s="1062" t="s">
        <v>545</v>
      </c>
      <c r="I115" s="1063"/>
      <c r="J115" s="1063"/>
      <c r="K115" s="1064"/>
      <c r="L115" s="183"/>
    </row>
    <row r="116" spans="1:15" x14ac:dyDescent="0.25">
      <c r="A116" s="175"/>
      <c r="B116" s="2"/>
      <c r="C116" s="2"/>
      <c r="D116" s="1088" t="s">
        <v>586</v>
      </c>
      <c r="E116" s="1089"/>
      <c r="F116" s="1089"/>
      <c r="G116" s="1090"/>
      <c r="H116" s="1091" t="s">
        <v>585</v>
      </c>
      <c r="I116" s="1092"/>
      <c r="J116" s="1092"/>
      <c r="K116" s="1093"/>
      <c r="L116" s="183"/>
    </row>
    <row r="117" spans="1:15" x14ac:dyDescent="0.25">
      <c r="A117" s="175"/>
      <c r="B117" s="2"/>
      <c r="C117" s="2"/>
      <c r="D117" s="718"/>
      <c r="E117" s="239"/>
      <c r="F117" s="239"/>
      <c r="G117" s="240"/>
      <c r="H117" s="717"/>
      <c r="I117" s="231"/>
      <c r="J117" s="231"/>
      <c r="K117" s="232"/>
      <c r="L117" s="183"/>
    </row>
    <row r="118" spans="1:15" ht="15.75" thickBot="1" x14ac:dyDescent="0.3">
      <c r="A118" s="175"/>
      <c r="B118" s="726"/>
      <c r="C118" s="726"/>
      <c r="D118" s="1071" t="s">
        <v>591</v>
      </c>
      <c r="E118" s="1072"/>
      <c r="F118" s="1072"/>
      <c r="G118" s="1073"/>
      <c r="H118" s="1062" t="s">
        <v>588</v>
      </c>
      <c r="I118" s="1063"/>
      <c r="J118" s="1063"/>
      <c r="K118" s="1064"/>
      <c r="L118" s="183"/>
    </row>
    <row r="119" spans="1:15" ht="15.75" thickBot="1" x14ac:dyDescent="0.3">
      <c r="A119" s="175"/>
      <c r="B119" s="174"/>
      <c r="C119" s="1059" t="s">
        <v>576</v>
      </c>
      <c r="D119" s="1094"/>
      <c r="E119" s="1095"/>
      <c r="F119" s="1095"/>
      <c r="G119" s="1096"/>
      <c r="H119" s="1097"/>
      <c r="I119" s="1098"/>
      <c r="J119" s="1098"/>
      <c r="K119" s="1099"/>
      <c r="L119" s="183"/>
    </row>
    <row r="120" spans="1:15" ht="15.75" thickBot="1" x14ac:dyDescent="0.3">
      <c r="A120" s="175"/>
      <c r="B120" s="726"/>
      <c r="C120" s="1060"/>
      <c r="D120" s="1100" t="s">
        <v>581</v>
      </c>
      <c r="E120" s="1101"/>
      <c r="F120" s="1101"/>
      <c r="G120" s="1102"/>
      <c r="H120" s="1103" t="s">
        <v>583</v>
      </c>
      <c r="I120" s="1104"/>
      <c r="J120" s="1104"/>
      <c r="K120" s="1105"/>
      <c r="L120" s="183"/>
    </row>
    <row r="121" spans="1:15" x14ac:dyDescent="0.25">
      <c r="A121" s="1085"/>
      <c r="B121" s="1085"/>
      <c r="C121" s="1085"/>
      <c r="D121" s="1100"/>
      <c r="E121" s="1101"/>
      <c r="F121" s="1101"/>
      <c r="G121" s="1102"/>
      <c r="H121" s="1103"/>
      <c r="I121" s="1104"/>
      <c r="J121" s="1104"/>
      <c r="K121" s="1105"/>
      <c r="L121" s="183"/>
    </row>
    <row r="122" spans="1:15" x14ac:dyDescent="0.25">
      <c r="A122" s="1085"/>
      <c r="B122" s="1085"/>
      <c r="C122" s="1085"/>
      <c r="D122" s="1065" t="s">
        <v>587</v>
      </c>
      <c r="E122" s="1066"/>
      <c r="F122" s="1066"/>
      <c r="G122" s="1067"/>
      <c r="H122" s="1068" t="s">
        <v>585</v>
      </c>
      <c r="I122" s="1069"/>
      <c r="J122" s="1069"/>
      <c r="K122" s="1070"/>
      <c r="L122" s="183"/>
    </row>
    <row r="123" spans="1:15" x14ac:dyDescent="0.25">
      <c r="A123" s="1085"/>
      <c r="B123" s="1085"/>
      <c r="C123" s="1085"/>
      <c r="D123" s="1074" t="s">
        <v>545</v>
      </c>
      <c r="E123" s="1066"/>
      <c r="F123" s="1066"/>
      <c r="G123" s="1067"/>
      <c r="H123" s="1077" t="s">
        <v>544</v>
      </c>
      <c r="I123" s="1086"/>
      <c r="J123" s="1086"/>
      <c r="K123" s="1087"/>
      <c r="L123" s="183"/>
      <c r="O123" t="s">
        <v>570</v>
      </c>
    </row>
    <row r="124" spans="1:15" x14ac:dyDescent="0.25">
      <c r="A124" s="175"/>
      <c r="B124" s="2"/>
      <c r="C124" s="727"/>
      <c r="D124" s="1065" t="s">
        <v>586</v>
      </c>
      <c r="E124" s="1066"/>
      <c r="F124" s="1066"/>
      <c r="G124" s="1067"/>
      <c r="H124" s="1068" t="s">
        <v>587</v>
      </c>
      <c r="I124" s="1069"/>
      <c r="J124" s="1069"/>
      <c r="K124" s="1070"/>
      <c r="L124" s="183"/>
    </row>
    <row r="125" spans="1:15" x14ac:dyDescent="0.25">
      <c r="A125" s="175"/>
      <c r="B125" s="2"/>
      <c r="C125" s="2"/>
      <c r="D125" s="1074"/>
      <c r="E125" s="1075"/>
      <c r="F125" s="1075"/>
      <c r="G125" s="1076"/>
      <c r="H125" s="1077"/>
      <c r="I125" s="1069"/>
      <c r="J125" s="1069"/>
      <c r="K125" s="1070"/>
      <c r="L125" s="183"/>
    </row>
    <row r="126" spans="1:15" x14ac:dyDescent="0.25">
      <c r="A126" s="175"/>
      <c r="B126" s="2"/>
      <c r="C126" s="2"/>
      <c r="D126" s="1065" t="s">
        <v>590</v>
      </c>
      <c r="E126" s="1066"/>
      <c r="F126" s="1066"/>
      <c r="G126" s="1067"/>
      <c r="H126" s="1068" t="s">
        <v>589</v>
      </c>
      <c r="I126" s="1069"/>
      <c r="J126" s="1069"/>
      <c r="K126" s="1070"/>
      <c r="L126" s="183"/>
    </row>
    <row r="127" spans="1:15" ht="15.75" thickBot="1" x14ac:dyDescent="0.3">
      <c r="A127" s="175"/>
      <c r="B127" s="2"/>
      <c r="C127" s="728" t="s">
        <v>578</v>
      </c>
      <c r="D127" s="1078"/>
      <c r="E127" s="1079"/>
      <c r="F127" s="1079"/>
      <c r="G127" s="1080"/>
      <c r="H127" s="1081"/>
      <c r="I127" s="1082"/>
      <c r="J127" s="1082"/>
      <c r="K127" s="1083"/>
      <c r="L127" s="183"/>
    </row>
    <row r="128" spans="1:15" x14ac:dyDescent="0.25">
      <c r="A128" s="175"/>
      <c r="B128" s="2"/>
      <c r="C128" s="2"/>
      <c r="D128" s="729" t="s">
        <v>578</v>
      </c>
      <c r="E128" s="2"/>
      <c r="F128" s="732"/>
      <c r="G128" s="1061" t="s">
        <v>577</v>
      </c>
      <c r="H128" s="1061"/>
      <c r="I128" s="732"/>
      <c r="J128" s="1084" t="s">
        <v>249</v>
      </c>
      <c r="K128" s="1084"/>
      <c r="L128" s="183"/>
    </row>
    <row r="129" spans="1:12" x14ac:dyDescent="0.25">
      <c r="A129" s="175"/>
      <c r="B129" s="2"/>
      <c r="C129" s="2"/>
      <c r="D129" s="2"/>
      <c r="E129" s="2"/>
      <c r="F129" s="2"/>
      <c r="G129" s="2"/>
      <c r="H129" s="2"/>
      <c r="I129" s="2"/>
      <c r="J129" s="2"/>
      <c r="K129" s="2"/>
      <c r="L129" s="183"/>
    </row>
    <row r="130" spans="1:12" ht="15.75" thickBot="1" x14ac:dyDescent="0.3">
      <c r="A130" s="175"/>
      <c r="B130" s="2"/>
      <c r="C130" s="2"/>
      <c r="D130" s="2"/>
      <c r="E130" s="2"/>
      <c r="F130" s="2"/>
      <c r="G130" s="2"/>
      <c r="H130" s="2"/>
      <c r="I130" s="2"/>
      <c r="J130" s="2"/>
      <c r="K130" s="2"/>
      <c r="L130" s="183"/>
    </row>
    <row r="131" spans="1:12" ht="34.5" thickBot="1" x14ac:dyDescent="0.55000000000000004">
      <c r="A131" s="1053" t="s">
        <v>579</v>
      </c>
      <c r="B131" s="1054"/>
      <c r="C131" s="1054"/>
      <c r="D131" s="1054"/>
      <c r="E131" s="1054"/>
      <c r="F131" s="1054"/>
      <c r="G131" s="1055"/>
      <c r="H131" s="1056" t="s">
        <v>582</v>
      </c>
      <c r="I131" s="1057"/>
      <c r="J131" s="1057"/>
      <c r="K131" s="1058"/>
      <c r="L131" s="183"/>
    </row>
    <row r="132" spans="1:12" ht="15.75" thickBot="1" x14ac:dyDescent="0.3">
      <c r="A132" s="725"/>
      <c r="B132" s="386"/>
      <c r="C132" s="386"/>
      <c r="D132" s="386"/>
      <c r="E132" s="386"/>
      <c r="F132" s="386"/>
      <c r="G132" s="386"/>
      <c r="H132" s="386"/>
      <c r="I132" s="386"/>
      <c r="J132" s="386"/>
      <c r="K132" s="386"/>
      <c r="L132" s="573"/>
    </row>
  </sheetData>
  <mergeCells count="130">
    <mergeCell ref="H83:K83"/>
    <mergeCell ref="A83:G83"/>
    <mergeCell ref="H68:K68"/>
    <mergeCell ref="H72:K73"/>
    <mergeCell ref="H77:K77"/>
    <mergeCell ref="H79:K79"/>
    <mergeCell ref="D79:G79"/>
    <mergeCell ref="D77:G77"/>
    <mergeCell ref="J80:K80"/>
    <mergeCell ref="F80:I80"/>
    <mergeCell ref="D75:G75"/>
    <mergeCell ref="D76:G76"/>
    <mergeCell ref="H75:K75"/>
    <mergeCell ref="H76:K76"/>
    <mergeCell ref="D71:G71"/>
    <mergeCell ref="H71:K71"/>
    <mergeCell ref="B70:C72"/>
    <mergeCell ref="B73:C73"/>
    <mergeCell ref="B74:C74"/>
    <mergeCell ref="B75:C75"/>
    <mergeCell ref="B76:C76"/>
    <mergeCell ref="D72:G73"/>
    <mergeCell ref="D67:G67"/>
    <mergeCell ref="D68:G68"/>
    <mergeCell ref="H67:K67"/>
    <mergeCell ref="A62:K62"/>
    <mergeCell ref="B66:C66"/>
    <mergeCell ref="B64:C64"/>
    <mergeCell ref="D64:G65"/>
    <mergeCell ref="H64:K65"/>
    <mergeCell ref="D66:G66"/>
    <mergeCell ref="H66:K66"/>
    <mergeCell ref="A32:B32"/>
    <mergeCell ref="B43:C43"/>
    <mergeCell ref="D36:K36"/>
    <mergeCell ref="H40:K40"/>
    <mergeCell ref="A1:K1"/>
    <mergeCell ref="A2:K2"/>
    <mergeCell ref="A7:K7"/>
    <mergeCell ref="A20:K20"/>
    <mergeCell ref="I33:K33"/>
    <mergeCell ref="H42:K42"/>
    <mergeCell ref="A22:J22"/>
    <mergeCell ref="A24:B24"/>
    <mergeCell ref="A26:B26"/>
    <mergeCell ref="A28:B28"/>
    <mergeCell ref="A30:B30"/>
    <mergeCell ref="H38:K38"/>
    <mergeCell ref="B58:D58"/>
    <mergeCell ref="B59:D59"/>
    <mergeCell ref="G58:H58"/>
    <mergeCell ref="G59:H59"/>
    <mergeCell ref="B55:H55"/>
    <mergeCell ref="D40:G40"/>
    <mergeCell ref="D42:G42"/>
    <mergeCell ref="F53:I53"/>
    <mergeCell ref="F52:I52"/>
    <mergeCell ref="D47:G47"/>
    <mergeCell ref="D49:G49"/>
    <mergeCell ref="H47:K47"/>
    <mergeCell ref="H49:K49"/>
    <mergeCell ref="D45:G45"/>
    <mergeCell ref="D91:G91"/>
    <mergeCell ref="H91:K91"/>
    <mergeCell ref="D92:G92"/>
    <mergeCell ref="H92:K92"/>
    <mergeCell ref="D95:G95"/>
    <mergeCell ref="H95:K95"/>
    <mergeCell ref="D96:G97"/>
    <mergeCell ref="H96:K97"/>
    <mergeCell ref="A86:K86"/>
    <mergeCell ref="B88:C88"/>
    <mergeCell ref="D88:G89"/>
    <mergeCell ref="H88:K89"/>
    <mergeCell ref="B90:C90"/>
    <mergeCell ref="D90:G90"/>
    <mergeCell ref="H90:K90"/>
    <mergeCell ref="B95:C96"/>
    <mergeCell ref="A97:C97"/>
    <mergeCell ref="A98:C98"/>
    <mergeCell ref="A99:C99"/>
    <mergeCell ref="D101:G101"/>
    <mergeCell ref="H101:K101"/>
    <mergeCell ref="D103:G103"/>
    <mergeCell ref="H103:K103"/>
    <mergeCell ref="F104:I104"/>
    <mergeCell ref="J104:K104"/>
    <mergeCell ref="D99:G99"/>
    <mergeCell ref="H99:K99"/>
    <mergeCell ref="D100:G100"/>
    <mergeCell ref="H100:K100"/>
    <mergeCell ref="A110:K110"/>
    <mergeCell ref="B112:C112"/>
    <mergeCell ref="D112:G113"/>
    <mergeCell ref="H112:K113"/>
    <mergeCell ref="B114:C114"/>
    <mergeCell ref="D114:G114"/>
    <mergeCell ref="H114:K114"/>
    <mergeCell ref="A107:G107"/>
    <mergeCell ref="H107:K107"/>
    <mergeCell ref="D115:G115"/>
    <mergeCell ref="H115:K115"/>
    <mergeCell ref="D116:G116"/>
    <mergeCell ref="H116:K116"/>
    <mergeCell ref="D119:G119"/>
    <mergeCell ref="H119:K119"/>
    <mergeCell ref="D120:G121"/>
    <mergeCell ref="H120:K121"/>
    <mergeCell ref="A121:C121"/>
    <mergeCell ref="A131:G131"/>
    <mergeCell ref="H131:K131"/>
    <mergeCell ref="C119:C120"/>
    <mergeCell ref="G128:H128"/>
    <mergeCell ref="H118:K118"/>
    <mergeCell ref="D122:G122"/>
    <mergeCell ref="H122:K122"/>
    <mergeCell ref="H126:K126"/>
    <mergeCell ref="D126:G126"/>
    <mergeCell ref="D118:G118"/>
    <mergeCell ref="D125:G125"/>
    <mergeCell ref="H125:K125"/>
    <mergeCell ref="D127:G127"/>
    <mergeCell ref="H127:K127"/>
    <mergeCell ref="J128:K128"/>
    <mergeCell ref="A122:C122"/>
    <mergeCell ref="A123:C123"/>
    <mergeCell ref="D123:G123"/>
    <mergeCell ref="H123:K123"/>
    <mergeCell ref="D124:G124"/>
    <mergeCell ref="H124:K124"/>
  </mergeCells>
  <conditionalFormatting sqref="B5:K5">
    <cfRule type="expression" dxfId="163" priority="43">
      <formula>B5&lt;15%</formula>
    </cfRule>
    <cfRule type="expression" dxfId="162" priority="44">
      <formula>B5&gt;=15%</formula>
    </cfRule>
  </conditionalFormatting>
  <conditionalFormatting sqref="B14">
    <cfRule type="expression" dxfId="161" priority="35">
      <formula>B14&lt;8%</formula>
    </cfRule>
    <cfRule type="expression" dxfId="160" priority="36">
      <formula>B14&gt;=8%</formula>
    </cfRule>
  </conditionalFormatting>
  <conditionalFormatting sqref="C14:K14">
    <cfRule type="expression" dxfId="159" priority="33">
      <formula>C14&lt;8%</formula>
    </cfRule>
    <cfRule type="expression" dxfId="158" priority="34">
      <formula>C14&gt;=8%</formula>
    </cfRule>
  </conditionalFormatting>
  <conditionalFormatting sqref="B16">
    <cfRule type="expression" dxfId="157" priority="31">
      <formula>B16&lt;4</formula>
    </cfRule>
    <cfRule type="expression" dxfId="156" priority="32">
      <formula>B16&gt;=4</formula>
    </cfRule>
  </conditionalFormatting>
  <conditionalFormatting sqref="C16:K16">
    <cfRule type="expression" dxfId="155" priority="29">
      <formula>C16&lt;4</formula>
    </cfRule>
    <cfRule type="expression" dxfId="154" priority="30">
      <formula>C16&gt;=4</formula>
    </cfRule>
  </conditionalFormatting>
  <conditionalFormatting sqref="B18">
    <cfRule type="expression" dxfId="153" priority="27">
      <formula>B18&lt;15%</formula>
    </cfRule>
    <cfRule type="expression" dxfId="152" priority="28">
      <formula>B18&gt;=15%</formula>
    </cfRule>
  </conditionalFormatting>
  <conditionalFormatting sqref="C18:K18">
    <cfRule type="expression" dxfId="151" priority="25">
      <formula>C18&lt;15%</formula>
    </cfRule>
    <cfRule type="expression" dxfId="150" priority="26">
      <formula>C18&gt;=15%</formula>
    </cfRule>
  </conditionalFormatting>
  <conditionalFormatting sqref="D30:K30">
    <cfRule type="expression" dxfId="149" priority="17">
      <formula>D30&lt;C30</formula>
    </cfRule>
    <cfRule type="expression" dxfId="148" priority="18">
      <formula>D30&gt;=C30</formula>
    </cfRule>
  </conditionalFormatting>
  <conditionalFormatting sqref="C32:K32">
    <cfRule type="expression" dxfId="147" priority="15">
      <formula>C32&lt;5%</formula>
    </cfRule>
    <cfRule type="expression" dxfId="146" priority="16">
      <formula>C32&gt;=5%</formula>
    </cfRule>
  </conditionalFormatting>
  <conditionalFormatting sqref="B38">
    <cfRule type="expression" dxfId="145" priority="11">
      <formula>B38&lt;5%</formula>
    </cfRule>
    <cfRule type="expression" dxfId="144" priority="12">
      <formula>B38&gt;=5%</formula>
    </cfRule>
  </conditionalFormatting>
  <conditionalFormatting sqref="B41">
    <cfRule type="expression" dxfId="143" priority="9">
      <formula>B41&lt;15%</formula>
    </cfRule>
    <cfRule type="expression" dxfId="142" priority="10">
      <formula>B41&gt;=15%</formula>
    </cfRule>
  </conditionalFormatting>
  <conditionalFormatting sqref="C10">
    <cfRule type="expression" dxfId="141" priority="7">
      <formula>C10&lt;B10</formula>
    </cfRule>
    <cfRule type="expression" dxfId="140" priority="8">
      <formula>C10&gt;=B10</formula>
    </cfRule>
  </conditionalFormatting>
  <conditionalFormatting sqref="D10:K10">
    <cfRule type="expression" dxfId="139" priority="5">
      <formula>D10&lt;C10</formula>
    </cfRule>
    <cfRule type="expression" dxfId="138" priority="6">
      <formula>D10&gt;=C10</formula>
    </cfRule>
  </conditionalFormatting>
  <conditionalFormatting sqref="C12">
    <cfRule type="expression" dxfId="137" priority="3">
      <formula>C12&lt;B12</formula>
    </cfRule>
    <cfRule type="expression" dxfId="136" priority="4">
      <formula>C12&gt;=B12</formula>
    </cfRule>
  </conditionalFormatting>
  <conditionalFormatting sqref="D12:K12">
    <cfRule type="expression" dxfId="135" priority="1">
      <formula>D12&lt;C12</formula>
    </cfRule>
    <cfRule type="expression" dxfId="134" priority="2">
      <formula>D12&gt;=C12</formula>
    </cfRule>
  </conditionalFormatting>
  <dataValidations count="7">
    <dataValidation type="list" allowBlank="1" showInputMessage="1" showErrorMessage="1" sqref="B55:H55">
      <formula1>GREAT</formula1>
    </dataValidation>
    <dataValidation type="list" allowBlank="1" showInputMessage="1" showErrorMessage="1" sqref="B58:D58">
      <formula1>"INTANGIBLE ASSETS,SWITCHING COST,NETWORK BENEFITS,MORE THAN ONE, NONE"</formula1>
    </dataValidation>
    <dataValidation type="list" allowBlank="1" showInputMessage="1" showErrorMessage="1" sqref="B59:D59">
      <formula1>"CHEAPER PROCESS,LOCATION, UNIQUE ASSETS,ECONOMIES OF SCALE,MORE THAN ONE,NONE"</formula1>
    </dataValidation>
    <dataValidation type="list" allowBlank="1" showInputMessage="1" showErrorMessage="1" sqref="G59:H59">
      <formula1>"WIDE MOAT,EMERGING MOAT,NARROW MOAT, NO MOAT"</formula1>
    </dataValidation>
    <dataValidation type="list" allowBlank="1" showInputMessage="1" showErrorMessage="1" sqref="H83:K83">
      <formula1>"LONGEST CAP,LONG CAP, SHORT CAP, SHORTEST CAP"</formula1>
    </dataValidation>
    <dataValidation type="list" allowBlank="1" showInputMessage="1" showErrorMessage="1" sqref="H107:K107">
      <formula1>"HIGHEST PAT GROWTH,HIGH PAT GROWTH,LOWER PAT GROWTH,LOWEST PAT GROWTH"</formula1>
    </dataValidation>
    <dataValidation type="list" allowBlank="1" showInputMessage="1" showErrorMessage="1" sqref="H131:K131">
      <formula1>"TRUE WEALTH CREATOR,GROWTH TRAP,QUALITY TRAP,WEALTH DESTROYER"</formula1>
    </dataValidation>
  </dataValidations>
  <hyperlinks>
    <hyperlink ref="M1" r:id="rId1"/>
    <hyperlink ref="A18" location="DCF!B32" display="RETURN ON EQUITY%"/>
  </hyperlinks>
  <pageMargins left="0.7" right="0.7" top="0.75" bottom="0.75" header="0.3" footer="0.3"/>
  <pageSetup orientation="landscape" r:id="rId2"/>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8"/>
  <sheetViews>
    <sheetView showGridLines="0" workbookViewId="0">
      <selection sqref="A1:K1"/>
    </sheetView>
  </sheetViews>
  <sheetFormatPr defaultRowHeight="15" x14ac:dyDescent="0.25"/>
  <cols>
    <col min="1" max="1" width="25" customWidth="1"/>
  </cols>
  <sheetData>
    <row r="1" spans="1:19" ht="15.75" customHeight="1" x14ac:dyDescent="0.25">
      <c r="A1" s="873" t="str">
        <f>summary!B6</f>
        <v>AVANTI FEEDS LTD</v>
      </c>
      <c r="B1" s="873"/>
      <c r="C1" s="873"/>
      <c r="D1" s="873"/>
      <c r="E1" s="873"/>
      <c r="F1" s="873"/>
      <c r="G1" s="873"/>
      <c r="H1" s="873"/>
      <c r="I1" s="873"/>
      <c r="J1" s="873"/>
      <c r="K1" s="873"/>
      <c r="L1" s="1205" t="s">
        <v>345</v>
      </c>
      <c r="M1" s="1206"/>
      <c r="N1" s="1223" t="s">
        <v>344</v>
      </c>
      <c r="O1" s="1224"/>
      <c r="P1" s="1224"/>
      <c r="Q1" s="1239" t="s">
        <v>343</v>
      </c>
    </row>
    <row r="2" spans="1:19" ht="15.75" customHeight="1" thickBot="1" x14ac:dyDescent="0.3">
      <c r="A2" s="873" t="s">
        <v>266</v>
      </c>
      <c r="B2" s="873"/>
      <c r="C2" s="873"/>
      <c r="D2" s="873"/>
      <c r="E2" s="873"/>
      <c r="F2" s="873"/>
      <c r="G2" s="873"/>
      <c r="H2" s="873"/>
      <c r="I2" s="873"/>
      <c r="J2" s="873"/>
      <c r="K2" s="873"/>
      <c r="L2" s="1207"/>
      <c r="M2" s="1208"/>
      <c r="N2" s="1225"/>
      <c r="O2" s="1226"/>
      <c r="P2" s="1226"/>
      <c r="Q2" s="1240"/>
    </row>
    <row r="3" spans="1:19" s="174" customFormat="1" ht="15.75" customHeight="1" thickBot="1" x14ac:dyDescent="0.3">
      <c r="A3" s="250"/>
      <c r="B3" s="250"/>
      <c r="C3" s="250"/>
      <c r="D3" s="250"/>
      <c r="E3" s="250"/>
      <c r="F3" s="250"/>
      <c r="G3" s="250"/>
      <c r="H3" s="250"/>
      <c r="I3" s="250"/>
      <c r="J3" s="250"/>
      <c r="L3" s="1209" t="s">
        <v>346</v>
      </c>
      <c r="M3" s="1210"/>
      <c r="N3" s="1219" t="s">
        <v>372</v>
      </c>
      <c r="O3" s="1220"/>
      <c r="P3" s="1220"/>
      <c r="Q3" s="1237" t="s">
        <v>373</v>
      </c>
    </row>
    <row r="4" spans="1:19" ht="15.75" customHeight="1" thickBot="1" x14ac:dyDescent="0.3">
      <c r="A4" s="1184" t="s">
        <v>270</v>
      </c>
      <c r="B4" s="1061"/>
      <c r="C4" s="1061"/>
      <c r="D4" s="1061"/>
      <c r="E4" s="1061"/>
      <c r="F4" s="1061"/>
      <c r="G4" s="1061"/>
      <c r="H4" s="1061"/>
      <c r="I4" s="1061"/>
      <c r="J4" s="1061"/>
      <c r="K4" s="1185"/>
      <c r="L4" s="1211"/>
      <c r="M4" s="1212"/>
      <c r="N4" s="1221"/>
      <c r="O4" s="1222"/>
      <c r="P4" s="1222"/>
      <c r="Q4" s="1238"/>
    </row>
    <row r="5" spans="1:19" ht="15" customHeight="1" x14ac:dyDescent="0.25">
      <c r="A5" s="175"/>
      <c r="B5" s="2"/>
      <c r="C5" s="2"/>
      <c r="D5" s="2"/>
      <c r="E5" s="2"/>
      <c r="F5" s="2"/>
      <c r="G5" s="1228" t="str">
        <f>IF(B10&gt;=0,Q1,Q3)</f>
        <v>☹</v>
      </c>
      <c r="H5" s="1229"/>
      <c r="I5" s="1229"/>
      <c r="J5" s="1229"/>
      <c r="K5" s="1230"/>
      <c r="M5" s="439"/>
      <c r="N5" s="439"/>
      <c r="O5" s="439"/>
      <c r="P5" s="439"/>
    </row>
    <row r="6" spans="1:19" ht="15" customHeight="1" x14ac:dyDescent="0.25">
      <c r="A6" s="282" t="s">
        <v>265</v>
      </c>
      <c r="B6" s="385">
        <f>1/summary!B22</f>
        <v>5.0459259259259252E-2</v>
      </c>
      <c r="C6" s="2"/>
      <c r="D6" s="2"/>
      <c r="E6" s="2"/>
      <c r="F6" s="2"/>
      <c r="G6" s="1231"/>
      <c r="H6" s="1232"/>
      <c r="I6" s="1232"/>
      <c r="J6" s="1232"/>
      <c r="K6" s="1233"/>
      <c r="L6" s="438"/>
      <c r="M6" s="439"/>
      <c r="N6" s="439"/>
      <c r="O6" s="439"/>
      <c r="P6" s="439"/>
    </row>
    <row r="7" spans="1:19" ht="15" customHeight="1" x14ac:dyDescent="0.25">
      <c r="A7" s="284"/>
      <c r="B7" s="2"/>
      <c r="C7" s="2"/>
      <c r="D7" s="2"/>
      <c r="E7" s="2"/>
      <c r="F7" s="2"/>
      <c r="G7" s="1231"/>
      <c r="H7" s="1232"/>
      <c r="I7" s="1232"/>
      <c r="J7" s="1232"/>
      <c r="K7" s="1233"/>
      <c r="L7" s="1227" t="s">
        <v>413</v>
      </c>
      <c r="M7" s="877"/>
      <c r="N7" s="877"/>
      <c r="O7" s="877"/>
      <c r="P7" s="877"/>
      <c r="Q7" s="877"/>
      <c r="R7" s="534"/>
      <c r="S7" s="534"/>
    </row>
    <row r="8" spans="1:19" ht="15" customHeight="1" x14ac:dyDescent="0.25">
      <c r="A8" s="387" t="s">
        <v>267</v>
      </c>
      <c r="B8" s="253">
        <v>6.6799999999999998E-2</v>
      </c>
      <c r="C8" s="1203" t="s">
        <v>269</v>
      </c>
      <c r="D8" s="1204"/>
      <c r="E8" s="1204"/>
      <c r="F8" s="1204"/>
      <c r="G8" s="1231"/>
      <c r="H8" s="1232"/>
      <c r="I8" s="1232"/>
      <c r="J8" s="1232"/>
      <c r="K8" s="1233"/>
      <c r="L8" s="1227"/>
      <c r="M8" s="877"/>
      <c r="N8" s="877"/>
      <c r="O8" s="877"/>
      <c r="P8" s="877"/>
      <c r="Q8" s="877"/>
      <c r="R8" s="534"/>
      <c r="S8" s="534"/>
    </row>
    <row r="9" spans="1:19" ht="15" customHeight="1" x14ac:dyDescent="0.25">
      <c r="A9" s="284"/>
      <c r="B9" s="2"/>
      <c r="C9" s="2"/>
      <c r="D9" s="2"/>
      <c r="E9" s="2"/>
      <c r="F9" s="2"/>
      <c r="G9" s="1231"/>
      <c r="H9" s="1232"/>
      <c r="I9" s="1232"/>
      <c r="J9" s="1232"/>
      <c r="K9" s="1233"/>
      <c r="L9" s="438"/>
      <c r="M9" s="534"/>
      <c r="N9" s="534"/>
      <c r="O9" s="534"/>
      <c r="P9" s="534"/>
    </row>
    <row r="10" spans="1:19" ht="15.75" customHeight="1" thickBot="1" x14ac:dyDescent="0.3">
      <c r="A10" s="349" t="s">
        <v>268</v>
      </c>
      <c r="B10" s="389">
        <f>B6-B8</f>
        <v>-1.6340740740740746E-2</v>
      </c>
      <c r="C10" s="388"/>
      <c r="D10" s="386"/>
      <c r="E10" s="386"/>
      <c r="F10" s="386"/>
      <c r="G10" s="1234"/>
      <c r="H10" s="1235"/>
      <c r="I10" s="1235"/>
      <c r="J10" s="1235"/>
      <c r="K10" s="1236"/>
      <c r="L10" s="438"/>
      <c r="M10" s="439"/>
      <c r="N10" s="439"/>
      <c r="O10" s="439"/>
      <c r="P10" s="439"/>
    </row>
    <row r="11" spans="1:19" ht="15.75" thickBot="1" x14ac:dyDescent="0.3">
      <c r="C11" s="346"/>
    </row>
    <row r="12" spans="1:19" ht="15.75" thickBot="1" x14ac:dyDescent="0.3">
      <c r="A12" s="1184" t="s">
        <v>271</v>
      </c>
      <c r="B12" s="1061"/>
      <c r="C12" s="1061"/>
      <c r="D12" s="1061"/>
      <c r="E12" s="1061"/>
      <c r="F12" s="1061"/>
      <c r="G12" s="1061"/>
      <c r="H12" s="1061"/>
      <c r="I12" s="1061"/>
      <c r="J12" s="1061"/>
      <c r="K12" s="1185"/>
    </row>
    <row r="13" spans="1:19" ht="15" customHeight="1" x14ac:dyDescent="0.25">
      <c r="A13" s="175"/>
      <c r="B13" s="2"/>
      <c r="C13" s="2"/>
      <c r="D13" s="2"/>
      <c r="E13" s="390"/>
      <c r="F13" s="2"/>
      <c r="G13" s="1228" t="str">
        <f>IF(B18&gt;=0,Q1,Q3)</f>
        <v>☹</v>
      </c>
      <c r="H13" s="1229"/>
      <c r="I13" s="1229"/>
      <c r="J13" s="1229"/>
      <c r="K13" s="1230"/>
    </row>
    <row r="14" spans="1:19" ht="15" customHeight="1" x14ac:dyDescent="0.25">
      <c r="A14" s="282" t="s">
        <v>272</v>
      </c>
      <c r="B14" s="251">
        <f>'Cash Flow'!B13:K13/(summary!B10+'Balance Sheet'!K6-('Data Sheet'!K64+'Data Sheet'!K69))</f>
        <v>2.4167930752772671E-2</v>
      </c>
      <c r="C14" s="2"/>
      <c r="D14" s="2"/>
      <c r="E14" s="2"/>
      <c r="F14" s="2"/>
      <c r="G14" s="1231"/>
      <c r="H14" s="1232"/>
      <c r="I14" s="1232"/>
      <c r="J14" s="1232"/>
      <c r="K14" s="1233"/>
    </row>
    <row r="15" spans="1:19" ht="15" customHeight="1" x14ac:dyDescent="0.25">
      <c r="A15" s="284"/>
      <c r="B15" s="2"/>
      <c r="C15" s="2"/>
      <c r="D15" s="2"/>
      <c r="E15" s="2"/>
      <c r="F15" s="2"/>
      <c r="G15" s="1231"/>
      <c r="H15" s="1232"/>
      <c r="I15" s="1232"/>
      <c r="J15" s="1232"/>
      <c r="K15" s="1233"/>
    </row>
    <row r="16" spans="1:19" ht="15" customHeight="1" x14ac:dyDescent="0.25">
      <c r="A16" s="387" t="s">
        <v>267</v>
      </c>
      <c r="B16" s="254">
        <f>B8</f>
        <v>6.6799999999999998E-2</v>
      </c>
      <c r="C16" s="2"/>
      <c r="D16" s="2"/>
      <c r="E16" s="2"/>
      <c r="F16" s="2"/>
      <c r="G16" s="1231"/>
      <c r="H16" s="1232"/>
      <c r="I16" s="1232"/>
      <c r="J16" s="1232"/>
      <c r="K16" s="1233"/>
    </row>
    <row r="17" spans="1:18" ht="15" customHeight="1" x14ac:dyDescent="0.25">
      <c r="A17" s="284"/>
      <c r="B17" s="2"/>
      <c r="C17" s="2"/>
      <c r="D17" s="2"/>
      <c r="E17" s="2"/>
      <c r="F17" s="2"/>
      <c r="G17" s="1231"/>
      <c r="H17" s="1232"/>
      <c r="I17" s="1232"/>
      <c r="J17" s="1232"/>
      <c r="K17" s="1233"/>
      <c r="Q17" s="74"/>
      <c r="R17" s="74"/>
    </row>
    <row r="18" spans="1:18" ht="15.75" customHeight="1" thickBot="1" x14ac:dyDescent="0.3">
      <c r="A18" s="349" t="s">
        <v>268</v>
      </c>
      <c r="B18" s="391">
        <f>B14-B16</f>
        <v>-4.263206924722733E-2</v>
      </c>
      <c r="C18" s="386"/>
      <c r="D18" s="386"/>
      <c r="E18" s="386"/>
      <c r="F18" s="386"/>
      <c r="G18" s="1234"/>
      <c r="H18" s="1235"/>
      <c r="I18" s="1235"/>
      <c r="J18" s="1235"/>
      <c r="K18" s="1236"/>
    </row>
    <row r="19" spans="1:18" ht="15.75" thickBot="1" x14ac:dyDescent="0.3"/>
    <row r="20" spans="1:18" ht="15.75" thickBot="1" x14ac:dyDescent="0.3">
      <c r="A20" s="1184" t="s">
        <v>273</v>
      </c>
      <c r="B20" s="1061"/>
      <c r="C20" s="1061"/>
      <c r="D20" s="1061"/>
      <c r="E20" s="1061"/>
      <c r="F20" s="1061"/>
      <c r="G20" s="1061"/>
      <c r="H20" s="1061"/>
      <c r="I20" s="1061"/>
      <c r="J20" s="1061"/>
      <c r="K20" s="1185"/>
    </row>
    <row r="21" spans="1:18" x14ac:dyDescent="0.25">
      <c r="A21" s="175"/>
      <c r="B21" s="394">
        <f>'Balance Sheet'!B3</f>
        <v>40633</v>
      </c>
      <c r="C21" s="394">
        <f>'Balance Sheet'!C3</f>
        <v>40999</v>
      </c>
      <c r="D21" s="394">
        <f>'Balance Sheet'!D3</f>
        <v>41364</v>
      </c>
      <c r="E21" s="394">
        <f>'Balance Sheet'!E3</f>
        <v>41729</v>
      </c>
      <c r="F21" s="394">
        <f>'Balance Sheet'!F3</f>
        <v>42094</v>
      </c>
      <c r="G21" s="394">
        <f>'Balance Sheet'!G3</f>
        <v>42460</v>
      </c>
      <c r="H21" s="394">
        <f>'Balance Sheet'!H3</f>
        <v>42825</v>
      </c>
      <c r="I21" s="394">
        <f>'Balance Sheet'!I3</f>
        <v>43190</v>
      </c>
      <c r="J21" s="394">
        <f>'Balance Sheet'!J3</f>
        <v>43555</v>
      </c>
      <c r="K21" s="395">
        <f>'Balance Sheet'!K3</f>
        <v>43921</v>
      </c>
    </row>
    <row r="22" spans="1:18" x14ac:dyDescent="0.25">
      <c r="A22" s="602" t="s">
        <v>274</v>
      </c>
      <c r="B22" s="255">
        <f>'Income statement'!B20</f>
        <v>8.2235294117647069</v>
      </c>
      <c r="C22" s="255">
        <f>'Income statement'!C20</f>
        <v>2.7294117647058824</v>
      </c>
      <c r="D22" s="255">
        <f>'Income statement'!D20</f>
        <v>3.1906821963394343</v>
      </c>
      <c r="E22" s="255">
        <f>'Income statement'!E20</f>
        <v>6.6947308620934525</v>
      </c>
      <c r="F22" s="255">
        <f>'Income statement'!F20</f>
        <v>12.022015182884749</v>
      </c>
      <c r="G22" s="255">
        <f>'Income statement'!G20</f>
        <v>11.466742857142856</v>
      </c>
      <c r="H22" s="255">
        <f>'Income statement'!H20</f>
        <v>15.526016878419734</v>
      </c>
      <c r="I22" s="255">
        <f>'Income statement'!I20</f>
        <v>22.723591282728957</v>
      </c>
      <c r="J22" s="255">
        <f>'Income statement'!J20</f>
        <v>20.348119723714508</v>
      </c>
      <c r="K22" s="755">
        <f>'Income statement'!K20</f>
        <v>11.566524286415191</v>
      </c>
    </row>
    <row r="23" spans="1:18" x14ac:dyDescent="0.25">
      <c r="A23" s="284"/>
      <c r="B23" s="2"/>
      <c r="C23" s="2"/>
      <c r="D23" s="2"/>
      <c r="E23" s="2"/>
      <c r="F23" s="2"/>
      <c r="G23" s="1213" t="str">
        <f>IF(B28&lt;=B25,Q1,Q3)</f>
        <v>☹</v>
      </c>
      <c r="H23" s="1214"/>
      <c r="I23" s="1214"/>
      <c r="J23" s="1214"/>
      <c r="K23" s="1215"/>
    </row>
    <row r="24" spans="1:18" ht="15" customHeight="1" x14ac:dyDescent="0.25">
      <c r="A24" s="282" t="s">
        <v>277</v>
      </c>
      <c r="B24" s="256">
        <f>AVERAGE(I22:K22)</f>
        <v>18.21274509761955</v>
      </c>
      <c r="C24" s="2"/>
      <c r="D24" s="2"/>
      <c r="E24" s="2"/>
      <c r="F24" s="2"/>
      <c r="G24" s="1213"/>
      <c r="H24" s="1214"/>
      <c r="I24" s="1214"/>
      <c r="J24" s="1214"/>
      <c r="K24" s="1215"/>
    </row>
    <row r="25" spans="1:18" ht="15" customHeight="1" x14ac:dyDescent="0.25">
      <c r="A25" s="282" t="s">
        <v>278</v>
      </c>
      <c r="B25" s="256">
        <f>AVERAGE(G22:K22)</f>
        <v>16.326199005684249</v>
      </c>
      <c r="C25" s="2"/>
      <c r="D25" s="2"/>
      <c r="E25" s="2"/>
      <c r="F25" s="2"/>
      <c r="G25" s="1213"/>
      <c r="H25" s="1214"/>
      <c r="I25" s="1214"/>
      <c r="J25" s="1214"/>
      <c r="K25" s="1215"/>
    </row>
    <row r="26" spans="1:18" ht="15" customHeight="1" x14ac:dyDescent="0.25">
      <c r="A26" s="282" t="s">
        <v>279</v>
      </c>
      <c r="B26" s="257">
        <f>AVERAGE(B22:K22)</f>
        <v>11.449136444620946</v>
      </c>
      <c r="C26" s="2"/>
      <c r="D26" s="2"/>
      <c r="E26" s="2"/>
      <c r="F26" s="2"/>
      <c r="G26" s="1213"/>
      <c r="H26" s="1214"/>
      <c r="I26" s="1214"/>
      <c r="J26" s="1214"/>
      <c r="K26" s="1215"/>
    </row>
    <row r="27" spans="1:18" ht="15" customHeight="1" x14ac:dyDescent="0.25">
      <c r="A27" s="284"/>
      <c r="B27" s="2"/>
      <c r="C27" s="2"/>
      <c r="D27" s="2"/>
      <c r="E27" s="2"/>
      <c r="F27" s="2"/>
      <c r="G27" s="1213"/>
      <c r="H27" s="1214"/>
      <c r="I27" s="1214"/>
      <c r="J27" s="1214"/>
      <c r="K27" s="1215"/>
    </row>
    <row r="28" spans="1:18" ht="15.75" customHeight="1" thickBot="1" x14ac:dyDescent="0.3">
      <c r="A28" s="349" t="s">
        <v>276</v>
      </c>
      <c r="B28" s="393">
        <f>summary!B22</f>
        <v>19.817968291250736</v>
      </c>
      <c r="C28" s="386"/>
      <c r="D28" s="386"/>
      <c r="E28" s="386"/>
      <c r="F28" s="386"/>
      <c r="G28" s="1216"/>
      <c r="H28" s="1217"/>
      <c r="I28" s="1217"/>
      <c r="J28" s="1217"/>
      <c r="K28" s="1218"/>
    </row>
    <row r="29" spans="1:18" ht="15.75" thickBot="1" x14ac:dyDescent="0.3"/>
    <row r="30" spans="1:18" ht="15.75" thickBot="1" x14ac:dyDescent="0.3">
      <c r="A30" s="1184" t="s">
        <v>284</v>
      </c>
      <c r="B30" s="1061"/>
      <c r="C30" s="1061"/>
      <c r="D30" s="1061"/>
      <c r="E30" s="1061"/>
      <c r="F30" s="1061"/>
      <c r="G30" s="1061"/>
      <c r="H30" s="1061"/>
      <c r="I30" s="1061"/>
      <c r="J30" s="1061"/>
      <c r="K30" s="1185"/>
    </row>
    <row r="31" spans="1:18" x14ac:dyDescent="0.25">
      <c r="A31" s="175"/>
      <c r="B31" s="199">
        <f t="shared" ref="B31:K31" si="0">B21</f>
        <v>40633</v>
      </c>
      <c r="C31" s="199">
        <f t="shared" si="0"/>
        <v>40999</v>
      </c>
      <c r="D31" s="199">
        <f t="shared" si="0"/>
        <v>41364</v>
      </c>
      <c r="E31" s="199">
        <f t="shared" si="0"/>
        <v>41729</v>
      </c>
      <c r="F31" s="199">
        <f t="shared" si="0"/>
        <v>42094</v>
      </c>
      <c r="G31" s="199">
        <f t="shared" si="0"/>
        <v>42460</v>
      </c>
      <c r="H31" s="199">
        <f t="shared" si="0"/>
        <v>42825</v>
      </c>
      <c r="I31" s="199">
        <f t="shared" si="0"/>
        <v>43190</v>
      </c>
      <c r="J31" s="199">
        <f t="shared" si="0"/>
        <v>43555</v>
      </c>
      <c r="K31" s="392">
        <f t="shared" si="0"/>
        <v>43921</v>
      </c>
    </row>
    <row r="32" spans="1:18" x14ac:dyDescent="0.25">
      <c r="A32" s="282" t="s">
        <v>275</v>
      </c>
      <c r="B32" s="255">
        <f>'Income statement'!B23/'Income statement'!B3</f>
        <v>0.13722025912838634</v>
      </c>
      <c r="C32" s="255">
        <f>'Income statement'!C23/'Income statement'!C3</f>
        <v>0.19997910354194967</v>
      </c>
      <c r="D32" s="255">
        <f>'Income statement'!D23/'Income statement'!D3</f>
        <v>0.15308224099117076</v>
      </c>
      <c r="E32" s="255">
        <f>'Income statement'!E23/'Income statement'!E3</f>
        <v>0.43116156118799559</v>
      </c>
      <c r="F32" s="255">
        <f>'Income statement'!F23/'Income statement'!F3</f>
        <v>0.81560998449067967</v>
      </c>
      <c r="G32" s="255">
        <f>'Income statement'!G23/'Income statement'!G3</f>
        <v>0.9331852096810862</v>
      </c>
      <c r="H32" s="255">
        <f>'Income statement'!H23/'Income statement'!H3</f>
        <v>1.280074013472287</v>
      </c>
      <c r="I32" s="255">
        <f>'Income statement'!I23/'Income statement'!I3</f>
        <v>2.9901859176515662</v>
      </c>
      <c r="J32" s="255">
        <f>'Income statement'!J23/'Income statement'!J3</f>
        <v>1.5963896805417772</v>
      </c>
      <c r="K32" s="755">
        <f>'Income statement'!K23/'Income statement'!K3</f>
        <v>0.97385238950353437</v>
      </c>
    </row>
    <row r="33" spans="1:11" ht="15" customHeight="1" x14ac:dyDescent="0.25">
      <c r="A33" s="284"/>
      <c r="B33" s="2"/>
      <c r="C33" s="2"/>
      <c r="D33" s="2"/>
      <c r="E33" s="2"/>
      <c r="F33" s="2"/>
      <c r="G33" s="1213" t="str">
        <f>IF(B38&lt;=B35,Q1,Q3)</f>
        <v>☹</v>
      </c>
      <c r="H33" s="1214"/>
      <c r="I33" s="1214"/>
      <c r="J33" s="1214"/>
      <c r="K33" s="1215"/>
    </row>
    <row r="34" spans="1:11" ht="15" customHeight="1" x14ac:dyDescent="0.25">
      <c r="A34" s="282" t="s">
        <v>280</v>
      </c>
      <c r="B34" s="256">
        <f>AVERAGE(I32:K32)</f>
        <v>1.8534759958989593</v>
      </c>
      <c r="C34" s="2"/>
      <c r="D34" s="2"/>
      <c r="E34" s="2"/>
      <c r="F34" s="2"/>
      <c r="G34" s="1213"/>
      <c r="H34" s="1214"/>
      <c r="I34" s="1214"/>
      <c r="J34" s="1214"/>
      <c r="K34" s="1215"/>
    </row>
    <row r="35" spans="1:11" ht="15" customHeight="1" x14ac:dyDescent="0.25">
      <c r="A35" s="282" t="s">
        <v>281</v>
      </c>
      <c r="B35" s="256">
        <f>AVERAGE(G32:K32)</f>
        <v>1.5547374421700502</v>
      </c>
      <c r="C35" s="2"/>
      <c r="D35" s="2"/>
      <c r="E35" s="2"/>
      <c r="F35" s="2"/>
      <c r="G35" s="1213"/>
      <c r="H35" s="1214"/>
      <c r="I35" s="1214"/>
      <c r="J35" s="1214"/>
      <c r="K35" s="1215"/>
    </row>
    <row r="36" spans="1:11" ht="15" customHeight="1" x14ac:dyDescent="0.25">
      <c r="A36" s="282" t="s">
        <v>282</v>
      </c>
      <c r="B36" s="257">
        <f>AVERAGE(B32:K32)</f>
        <v>0.95107403601904339</v>
      </c>
      <c r="C36" s="2"/>
      <c r="D36" s="2"/>
      <c r="E36" s="2"/>
      <c r="F36" s="2"/>
      <c r="G36" s="1213"/>
      <c r="H36" s="1214"/>
      <c r="I36" s="1214"/>
      <c r="J36" s="1214"/>
      <c r="K36" s="1215"/>
    </row>
    <row r="37" spans="1:11" ht="15" customHeight="1" x14ac:dyDescent="0.25">
      <c r="A37" s="284"/>
      <c r="B37" s="2"/>
      <c r="C37" s="2"/>
      <c r="D37" s="2"/>
      <c r="E37" s="2"/>
      <c r="F37" s="2"/>
      <c r="G37" s="1213"/>
      <c r="H37" s="1214"/>
      <c r="I37" s="1214"/>
      <c r="J37" s="1214"/>
      <c r="K37" s="1215"/>
    </row>
    <row r="38" spans="1:11" ht="15.75" customHeight="1" thickBot="1" x14ac:dyDescent="0.3">
      <c r="A38" s="349" t="s">
        <v>283</v>
      </c>
      <c r="B38" s="393">
        <f>summary!B10/'Income statement'!L3</f>
        <v>1.7820325857387105</v>
      </c>
      <c r="C38" s="386"/>
      <c r="D38" s="386"/>
      <c r="E38" s="386"/>
      <c r="F38" s="386"/>
      <c r="G38" s="1216"/>
      <c r="H38" s="1217"/>
      <c r="I38" s="1217"/>
      <c r="J38" s="1217"/>
      <c r="K38" s="1218"/>
    </row>
    <row r="39" spans="1:11" ht="15.75" thickBot="1" x14ac:dyDescent="0.3"/>
    <row r="40" spans="1:11" s="174" customFormat="1" ht="15.75" thickBot="1" x14ac:dyDescent="0.3">
      <c r="A40" s="1184" t="s">
        <v>285</v>
      </c>
      <c r="B40" s="1061"/>
      <c r="C40" s="1061"/>
      <c r="D40" s="1061"/>
      <c r="E40" s="1061"/>
      <c r="F40" s="1061"/>
      <c r="G40" s="1061"/>
      <c r="H40" s="1061"/>
      <c r="I40" s="1061"/>
      <c r="J40" s="1061"/>
      <c r="K40" s="1185"/>
    </row>
    <row r="41" spans="1:11" x14ac:dyDescent="0.25">
      <c r="A41" s="175"/>
      <c r="B41" s="199">
        <f>B31</f>
        <v>40633</v>
      </c>
      <c r="C41" s="199">
        <f t="shared" ref="C41:F41" si="1">C31</f>
        <v>40999</v>
      </c>
      <c r="D41" s="199">
        <f t="shared" si="1"/>
        <v>41364</v>
      </c>
      <c r="E41" s="199">
        <f t="shared" si="1"/>
        <v>41729</v>
      </c>
      <c r="F41" s="199">
        <f t="shared" si="1"/>
        <v>42094</v>
      </c>
      <c r="G41" s="199">
        <f>G31</f>
        <v>42460</v>
      </c>
      <c r="H41" s="199">
        <f t="shared" ref="H41:K41" si="2">H31</f>
        <v>42825</v>
      </c>
      <c r="I41" s="199">
        <f t="shared" si="2"/>
        <v>43190</v>
      </c>
      <c r="J41" s="199">
        <f t="shared" si="2"/>
        <v>43555</v>
      </c>
      <c r="K41" s="392">
        <f t="shared" si="2"/>
        <v>43921</v>
      </c>
    </row>
    <row r="42" spans="1:11" x14ac:dyDescent="0.25">
      <c r="A42" s="282" t="s">
        <v>286</v>
      </c>
      <c r="B42" s="255">
        <f>'Income statement'!B23/('Balance Sheet'!B4+'Balance Sheet'!B5)</f>
        <v>0.40218642117376291</v>
      </c>
      <c r="C42" s="255">
        <f>'Income statement'!C23/('Balance Sheet'!C4+'Balance Sheet'!C5)</f>
        <v>0.81786133960047003</v>
      </c>
      <c r="D42" s="255">
        <f>'Income statement'!D23/('Balance Sheet'!D4+'Balance Sheet'!D5)</f>
        <v>0.76642685851318948</v>
      </c>
      <c r="E42" s="255">
        <f>'Income statement'!E23/('Balance Sheet'!E4+'Balance Sheet'!E5)</f>
        <v>2.6250264520799682</v>
      </c>
      <c r="F42" s="255">
        <f>'Income statement'!F23/('Balance Sheet'!F4+'Balance Sheet'!F5)</f>
        <v>5.2530890723359347</v>
      </c>
      <c r="G42" s="255">
        <f>'Income statement'!G23/('Balance Sheet'!G4+'Balance Sheet'!G5)</f>
        <v>4.2716525934861274</v>
      </c>
      <c r="H42" s="255">
        <f>'Income statement'!H23/('Balance Sheet'!H4+'Balance Sheet'!H5)</f>
        <v>5.2694923043026654</v>
      </c>
      <c r="I42" s="255">
        <f>'Income statement'!I23/('Balance Sheet'!I4+'Balance Sheet'!I5)</f>
        <v>9.8357717066739045</v>
      </c>
      <c r="J42" s="255">
        <f>'Income statement'!J23/('Balance Sheet'!J4+'Balance Sheet'!J5)</f>
        <v>4.6169491525423734</v>
      </c>
      <c r="K42" s="755">
        <f>'Income statement'!K23/('Balance Sheet'!K4+'Balance Sheet'!K5)</f>
        <v>2.855127236977089</v>
      </c>
    </row>
    <row r="43" spans="1:11" ht="15" customHeight="1" x14ac:dyDescent="0.25">
      <c r="A43" s="284"/>
      <c r="B43" s="2"/>
      <c r="C43" s="2"/>
      <c r="D43" s="2"/>
      <c r="E43" s="2"/>
      <c r="F43" s="2"/>
      <c r="G43" s="1213" t="str">
        <f>IF(B48&lt;=B45,Q1,Q3)</f>
        <v>☺</v>
      </c>
      <c r="H43" s="1214"/>
      <c r="I43" s="1214"/>
      <c r="J43" s="1214"/>
      <c r="K43" s="1215"/>
    </row>
    <row r="44" spans="1:11" ht="15" customHeight="1" x14ac:dyDescent="0.25">
      <c r="A44" s="282" t="s">
        <v>287</v>
      </c>
      <c r="B44" s="256">
        <f>AVERAGE(I42:K42)</f>
        <v>5.7692826987311223</v>
      </c>
      <c r="C44" s="2"/>
      <c r="D44" s="2"/>
      <c r="E44" s="2"/>
      <c r="F44" s="2"/>
      <c r="G44" s="1213"/>
      <c r="H44" s="1214"/>
      <c r="I44" s="1214"/>
      <c r="J44" s="1214"/>
      <c r="K44" s="1215"/>
    </row>
    <row r="45" spans="1:11" ht="15" customHeight="1" x14ac:dyDescent="0.25">
      <c r="A45" s="282" t="s">
        <v>288</v>
      </c>
      <c r="B45" s="256">
        <f>AVERAGE(G42:K42)</f>
        <v>5.3697985987964332</v>
      </c>
      <c r="C45" s="2"/>
      <c r="D45" s="2"/>
      <c r="E45" s="2"/>
      <c r="F45" s="2"/>
      <c r="G45" s="1213"/>
      <c r="H45" s="1214"/>
      <c r="I45" s="1214"/>
      <c r="J45" s="1214"/>
      <c r="K45" s="1215"/>
    </row>
    <row r="46" spans="1:11" ht="15" customHeight="1" x14ac:dyDescent="0.25">
      <c r="A46" s="282" t="s">
        <v>289</v>
      </c>
      <c r="B46" s="257">
        <f>AVERAGE(B42:K42)</f>
        <v>3.671358313768549</v>
      </c>
      <c r="C46" s="2"/>
      <c r="D46" s="2"/>
      <c r="E46" s="2"/>
      <c r="F46" s="2"/>
      <c r="G46" s="1213"/>
      <c r="H46" s="1214"/>
      <c r="I46" s="1214"/>
      <c r="J46" s="1214"/>
      <c r="K46" s="1215"/>
    </row>
    <row r="47" spans="1:11" ht="15" customHeight="1" x14ac:dyDescent="0.25">
      <c r="A47" s="284"/>
      <c r="B47" s="2"/>
      <c r="C47" s="2"/>
      <c r="D47" s="2"/>
      <c r="E47" s="2"/>
      <c r="F47" s="2"/>
      <c r="G47" s="1213"/>
      <c r="H47" s="1214"/>
      <c r="I47" s="1214"/>
      <c r="J47" s="1214"/>
      <c r="K47" s="1215"/>
    </row>
    <row r="48" spans="1:11" ht="15.75" customHeight="1" thickBot="1" x14ac:dyDescent="0.3">
      <c r="A48" s="349" t="s">
        <v>290</v>
      </c>
      <c r="B48" s="393">
        <f>summary!B10/('Balance Sheet'!K4+'Balance Sheet'!K5)</f>
        <v>5.049227744215206</v>
      </c>
      <c r="C48" s="386"/>
      <c r="D48" s="386"/>
      <c r="E48" s="386"/>
      <c r="F48" s="386"/>
      <c r="G48" s="1216"/>
      <c r="H48" s="1217"/>
      <c r="I48" s="1217"/>
      <c r="J48" s="1217"/>
      <c r="K48" s="1218"/>
    </row>
  </sheetData>
  <mergeCells count="20">
    <mergeCell ref="N3:P4"/>
    <mergeCell ref="N1:P2"/>
    <mergeCell ref="L7:Q8"/>
    <mergeCell ref="G13:K18"/>
    <mergeCell ref="G23:K28"/>
    <mergeCell ref="Q3:Q4"/>
    <mergeCell ref="Q1:Q2"/>
    <mergeCell ref="G5:K10"/>
    <mergeCell ref="A1:K1"/>
    <mergeCell ref="A2:K2"/>
    <mergeCell ref="A4:K4"/>
    <mergeCell ref="A12:K12"/>
    <mergeCell ref="A20:K20"/>
    <mergeCell ref="A30:K30"/>
    <mergeCell ref="C8:F8"/>
    <mergeCell ref="L1:M2"/>
    <mergeCell ref="L3:M4"/>
    <mergeCell ref="G43:K48"/>
    <mergeCell ref="G33:K38"/>
    <mergeCell ref="A40:K40"/>
  </mergeCells>
  <conditionalFormatting sqref="B10">
    <cfRule type="expression" dxfId="133" priority="24">
      <formula>$B$10&lt;0</formula>
    </cfRule>
    <cfRule type="expression" dxfId="132" priority="25">
      <formula>$B$10&gt;=0</formula>
    </cfRule>
  </conditionalFormatting>
  <conditionalFormatting sqref="B28">
    <cfRule type="expression" dxfId="131" priority="20">
      <formula>$B$28&lt;$B$25</formula>
    </cfRule>
    <cfRule type="expression" dxfId="130" priority="21">
      <formula>$B$28&gt;=$B$25</formula>
    </cfRule>
  </conditionalFormatting>
  <conditionalFormatting sqref="B38">
    <cfRule type="expression" dxfId="129" priority="18">
      <formula>$B$38&lt;$B$35</formula>
    </cfRule>
    <cfRule type="expression" dxfId="128" priority="19">
      <formula>$B$38&gt;=$B$35</formula>
    </cfRule>
  </conditionalFormatting>
  <conditionalFormatting sqref="B48">
    <cfRule type="expression" dxfId="127" priority="16">
      <formula>$B$48&lt;$B$45</formula>
    </cfRule>
    <cfRule type="expression" dxfId="126" priority="17">
      <formula>$B$48&gt;=$B$45</formula>
    </cfRule>
  </conditionalFormatting>
  <conditionalFormatting sqref="B18">
    <cfRule type="expression" dxfId="125" priority="14">
      <formula>$B$18&lt;0</formula>
    </cfRule>
    <cfRule type="expression" dxfId="124" priority="15">
      <formula>$B$18&gt;=0</formula>
    </cfRule>
  </conditionalFormatting>
  <conditionalFormatting sqref="G5:K10">
    <cfRule type="expression" dxfId="123" priority="11">
      <formula>B10&gt;0</formula>
    </cfRule>
    <cfRule type="expression" dxfId="122" priority="13">
      <formula>B10&lt;0</formula>
    </cfRule>
  </conditionalFormatting>
  <conditionalFormatting sqref="G13:K18">
    <cfRule type="expression" dxfId="121" priority="9">
      <formula>B18&gt;0</formula>
    </cfRule>
    <cfRule type="expression" dxfId="120" priority="10">
      <formula>B18&lt;0</formula>
    </cfRule>
  </conditionalFormatting>
  <conditionalFormatting sqref="G23:K28">
    <cfRule type="expression" dxfId="119" priority="7">
      <formula>B28&gt;B25</formula>
    </cfRule>
    <cfRule type="expression" dxfId="118" priority="8">
      <formula>B28&lt;=B25</formula>
    </cfRule>
  </conditionalFormatting>
  <conditionalFormatting sqref="G43:K48">
    <cfRule type="expression" dxfId="117" priority="3">
      <formula>B48&gt;B45</formula>
    </cfRule>
    <cfRule type="expression" dxfId="116" priority="4">
      <formula>B48&lt;=B45</formula>
    </cfRule>
  </conditionalFormatting>
  <conditionalFormatting sqref="G33:K38">
    <cfRule type="expression" dxfId="115" priority="1">
      <formula>B38&gt;B35</formula>
    </cfRule>
    <cfRule type="expression" dxfId="114" priority="2">
      <formula>B38&lt;=B35</formula>
    </cfRule>
  </conditionalFormatting>
  <hyperlinks>
    <hyperlink ref="C8:F8" r:id="rId1" display="click here to know govt bond yield"/>
    <hyperlink ref="L7:Q8" r:id="rId2" display="click here for the explanation "/>
    <hyperlink ref="A22" location="'Total Returns'!A11" display="P/E RATIO"/>
  </hyperlinks>
  <pageMargins left="0.7" right="0.7" top="0.75" bottom="0.75" header="0.3" footer="0.3"/>
  <pageSetup orientation="landscape" r:id="rId3"/>
  <drawing r:id="rId4"/>
  <legacy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5" x14ac:dyDescent="0.25"/>
  <cols>
    <col min="1" max="2" width="36.7109375" customWidth="1"/>
  </cols>
  <sheetData>
    <row r="1" spans="1:3" x14ac:dyDescent="0.25">
      <c r="A1" s="276" t="s">
        <v>487</v>
      </c>
    </row>
    <row r="3" spans="1:3" x14ac:dyDescent="0.25">
      <c r="A3" t="s">
        <v>488</v>
      </c>
      <c r="B3" t="s">
        <v>489</v>
      </c>
      <c r="C3">
        <v>0</v>
      </c>
    </row>
    <row r="4" spans="1:3" x14ac:dyDescent="0.25">
      <c r="A4" t="s">
        <v>490</v>
      </c>
    </row>
    <row r="5" spans="1:3" x14ac:dyDescent="0.25">
      <c r="A5" t="s">
        <v>491</v>
      </c>
    </row>
    <row r="7" spans="1:3" x14ac:dyDescent="0.25">
      <c r="A7" s="276" t="s">
        <v>492</v>
      </c>
      <c r="B7" t="s">
        <v>493</v>
      </c>
    </row>
    <row r="8" spans="1:3" x14ac:dyDescent="0.25">
      <c r="B8">
        <v>2</v>
      </c>
    </row>
    <row r="10" spans="1:3" x14ac:dyDescent="0.25">
      <c r="A10" t="s">
        <v>494</v>
      </c>
    </row>
    <row r="11" spans="1:3" x14ac:dyDescent="0.25">
      <c r="A11" t="e">
        <f>CB_DATA_!#REF!</f>
        <v>#REF!</v>
      </c>
      <c r="B11" t="e">
        <f>DCF!#REF!</f>
        <v>#REF!</v>
      </c>
    </row>
    <row r="13" spans="1:3" x14ac:dyDescent="0.25">
      <c r="A13" t="s">
        <v>495</v>
      </c>
    </row>
    <row r="14" spans="1:3" x14ac:dyDescent="0.25">
      <c r="A14" t="s">
        <v>499</v>
      </c>
      <c r="B14" t="s">
        <v>503</v>
      </c>
    </row>
    <row r="16" spans="1:3" x14ac:dyDescent="0.25">
      <c r="A16" t="s">
        <v>496</v>
      </c>
    </row>
    <row r="19" spans="1:2" x14ac:dyDescent="0.25">
      <c r="A19" t="s">
        <v>497</v>
      </c>
    </row>
    <row r="20" spans="1:2" x14ac:dyDescent="0.25">
      <c r="A20">
        <v>28</v>
      </c>
      <c r="B20">
        <v>31</v>
      </c>
    </row>
    <row r="25" spans="1:2" x14ac:dyDescent="0.25">
      <c r="A25" s="276" t="s">
        <v>498</v>
      </c>
    </row>
    <row r="26" spans="1:2" x14ac:dyDescent="0.25">
      <c r="A26" s="660" t="s">
        <v>500</v>
      </c>
      <c r="B26" s="660" t="s">
        <v>504</v>
      </c>
    </row>
    <row r="27" spans="1:2" x14ac:dyDescent="0.25">
      <c r="A27" t="s">
        <v>501</v>
      </c>
      <c r="B27" t="s">
        <v>512</v>
      </c>
    </row>
    <row r="28" spans="1:2" x14ac:dyDescent="0.25">
      <c r="A28" s="660" t="s">
        <v>502</v>
      </c>
      <c r="B28" s="660" t="s">
        <v>502</v>
      </c>
    </row>
    <row r="29" spans="1:2" x14ac:dyDescent="0.25">
      <c r="B29" s="660" t="s">
        <v>500</v>
      </c>
    </row>
    <row r="30" spans="1:2" x14ac:dyDescent="0.25">
      <c r="B30" t="s">
        <v>505</v>
      </c>
    </row>
    <row r="31" spans="1:2" x14ac:dyDescent="0.25">
      <c r="B31" s="660" t="s">
        <v>502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75"/>
  <sheetViews>
    <sheetView showGridLines="0" zoomScale="110" zoomScaleNormal="110" workbookViewId="0">
      <selection activeCell="G20" sqref="G20"/>
    </sheetView>
  </sheetViews>
  <sheetFormatPr defaultColWidth="12.85546875" defaultRowHeight="12.75" x14ac:dyDescent="0.2"/>
  <cols>
    <col min="1" max="1" width="31.140625" style="8" customWidth="1"/>
    <col min="2" max="2" width="7.5703125" style="8" bestFit="1" customWidth="1"/>
    <col min="3" max="3" width="8.28515625" style="8" bestFit="1" customWidth="1"/>
    <col min="4" max="4" width="13.85546875" style="8" bestFit="1" customWidth="1"/>
    <col min="5" max="5" width="9" style="8" customWidth="1"/>
    <col min="6" max="6" width="35.140625" style="8" bestFit="1" customWidth="1"/>
    <col min="7" max="7" width="12.85546875" style="8"/>
    <col min="8" max="8" width="11.140625" style="8" customWidth="1"/>
    <col min="9" max="9" width="12.5703125" style="8" customWidth="1"/>
    <col min="10" max="10" width="8.140625" style="8" customWidth="1"/>
    <col min="11" max="11" width="5.7109375" style="8" customWidth="1"/>
    <col min="12" max="12" width="19.42578125" style="8" bestFit="1" customWidth="1"/>
    <col min="13" max="13" width="12.85546875" style="8"/>
    <col min="14" max="14" width="9.140625" style="8" customWidth="1"/>
    <col min="15" max="15" width="12.85546875" style="8"/>
    <col min="16" max="16" width="6.5703125" style="8" customWidth="1"/>
    <col min="17" max="17" width="29" style="8" customWidth="1"/>
    <col min="18" max="16384" width="12.85546875" style="8"/>
  </cols>
  <sheetData>
    <row r="1" spans="1:11" ht="20.25" customHeight="1" thickBot="1" x14ac:dyDescent="0.25">
      <c r="A1" s="1268" t="s">
        <v>134</v>
      </c>
      <c r="B1" s="1269"/>
      <c r="C1" s="1269"/>
      <c r="D1" s="1269"/>
      <c r="E1" s="1269"/>
      <c r="F1" s="1270"/>
      <c r="G1" s="398" t="s">
        <v>341</v>
      </c>
      <c r="H1" s="1274" t="s">
        <v>344</v>
      </c>
      <c r="I1" s="1275"/>
      <c r="J1" s="1275"/>
      <c r="K1" s="1256" t="s">
        <v>343</v>
      </c>
    </row>
    <row r="2" spans="1:11" ht="18" customHeight="1" thickBot="1" x14ac:dyDescent="0.25">
      <c r="A2" s="1271" t="str">
        <f>'Data Sheet'!B1</f>
        <v>AVANTI FEEDS LTD</v>
      </c>
      <c r="B2" s="1272"/>
      <c r="C2" s="1272"/>
      <c r="D2" s="1272"/>
      <c r="E2" s="1272"/>
      <c r="F2" s="1273"/>
      <c r="G2" s="399" t="s">
        <v>342</v>
      </c>
      <c r="H2" s="1276"/>
      <c r="I2" s="1277"/>
      <c r="J2" s="1277"/>
      <c r="K2" s="1257"/>
    </row>
    <row r="3" spans="1:11" ht="13.5" customHeight="1" x14ac:dyDescent="0.2">
      <c r="A3" s="23"/>
      <c r="B3" s="23"/>
      <c r="C3" s="23"/>
      <c r="H3" s="1278" t="s">
        <v>372</v>
      </c>
      <c r="I3" s="1279"/>
      <c r="J3" s="1279"/>
      <c r="K3" s="1284" t="s">
        <v>373</v>
      </c>
    </row>
    <row r="4" spans="1:11" s="114" customFormat="1" ht="12.75" customHeight="1" x14ac:dyDescent="0.25">
      <c r="A4" s="636" t="s">
        <v>135</v>
      </c>
      <c r="B4" s="410">
        <f>'Cash Flow'!B13</f>
        <v>150.08333333333334</v>
      </c>
      <c r="E4" s="143">
        <f>G17</f>
        <v>4390.3231738595859</v>
      </c>
      <c r="F4" s="127" t="s">
        <v>138</v>
      </c>
      <c r="H4" s="1280"/>
      <c r="I4" s="1281"/>
      <c r="J4" s="1281"/>
      <c r="K4" s="1285"/>
    </row>
    <row r="5" spans="1:11" s="114" customFormat="1" ht="14.25" customHeight="1" thickBot="1" x14ac:dyDescent="0.3">
      <c r="A5" s="116" t="s">
        <v>472</v>
      </c>
      <c r="B5" s="657" t="s">
        <v>192</v>
      </c>
      <c r="E5" s="144">
        <f>'Data Sheet'!B9</f>
        <v>7087.5</v>
      </c>
      <c r="F5" s="127" t="s">
        <v>133</v>
      </c>
      <c r="H5" s="1282"/>
      <c r="I5" s="1283"/>
      <c r="J5" s="1283"/>
      <c r="K5" s="1286"/>
    </row>
    <row r="6" spans="1:11" s="114" customFormat="1" ht="12.75" customHeight="1" x14ac:dyDescent="0.25">
      <c r="A6" s="411" t="s">
        <v>111</v>
      </c>
      <c r="B6" s="412" t="s">
        <v>506</v>
      </c>
      <c r="C6" s="670"/>
      <c r="D6" s="128"/>
      <c r="E6" s="145">
        <f>E4/E5</f>
        <v>0.61944595045637896</v>
      </c>
      <c r="F6" s="127" t="s">
        <v>174</v>
      </c>
    </row>
    <row r="7" spans="1:11" s="114" customFormat="1" ht="13.5" customHeight="1" x14ac:dyDescent="0.25">
      <c r="A7" s="636" t="s">
        <v>112</v>
      </c>
      <c r="B7" s="756">
        <v>0.15</v>
      </c>
      <c r="C7" s="671"/>
      <c r="D7" s="129"/>
    </row>
    <row r="8" spans="1:11" s="114" customFormat="1" ht="13.5" customHeight="1" x14ac:dyDescent="0.25">
      <c r="A8" s="636" t="s">
        <v>97</v>
      </c>
      <c r="B8" s="756">
        <v>0.12</v>
      </c>
      <c r="C8" s="130"/>
    </row>
    <row r="9" spans="1:11" s="114" customFormat="1" ht="13.5" customHeight="1" x14ac:dyDescent="0.25">
      <c r="A9" s="116" t="s">
        <v>113</v>
      </c>
      <c r="B9" s="756">
        <f>D44</f>
        <v>3.7499999999999999E-2</v>
      </c>
      <c r="C9" s="130"/>
      <c r="E9" s="1287" t="s">
        <v>413</v>
      </c>
      <c r="F9" s="1287"/>
      <c r="G9" s="1287"/>
      <c r="H9" s="534"/>
      <c r="I9" s="534"/>
      <c r="J9" s="534"/>
      <c r="K9" s="534"/>
    </row>
    <row r="10" spans="1:11" s="114" customFormat="1" ht="13.5" customHeight="1" x14ac:dyDescent="0.25">
      <c r="B10" s="131"/>
      <c r="C10" s="130"/>
      <c r="E10" s="1287"/>
      <c r="F10" s="1287"/>
      <c r="G10" s="1287"/>
      <c r="H10" s="534"/>
      <c r="I10" s="534"/>
      <c r="J10" s="534"/>
      <c r="K10" s="534"/>
    </row>
    <row r="11" spans="1:11" s="114" customFormat="1" ht="15" customHeight="1" x14ac:dyDescent="0.25">
      <c r="A11" s="413" t="s">
        <v>136</v>
      </c>
      <c r="B11" s="410">
        <f>'Data Sheet'!K59-('Data Sheet'!K64+'Data Sheet'!K69)</f>
        <v>-877.4799999999999</v>
      </c>
      <c r="C11" s="130"/>
      <c r="D11" s="803"/>
      <c r="E11" s="1287"/>
      <c r="F11" s="1287"/>
      <c r="G11" s="1287"/>
      <c r="H11" s="534"/>
      <c r="I11" s="534"/>
      <c r="J11"/>
      <c r="K11"/>
    </row>
    <row r="12" spans="1:11" s="114" customFormat="1" ht="13.5" thickBot="1" x14ac:dyDescent="0.3"/>
    <row r="13" spans="1:11" s="114" customFormat="1" ht="12.75" customHeight="1" x14ac:dyDescent="0.25">
      <c r="A13" s="146" t="s">
        <v>86</v>
      </c>
      <c r="B13" s="147" t="s">
        <v>106</v>
      </c>
      <c r="C13" s="648" t="s">
        <v>114</v>
      </c>
      <c r="D13" s="148" t="s">
        <v>115</v>
      </c>
      <c r="F13" s="1022" t="s">
        <v>116</v>
      </c>
      <c r="G13" s="1267"/>
      <c r="H13" s="1258" t="str">
        <f>IF(G20&gt;=G19,K1,K3)</f>
        <v>☹</v>
      </c>
      <c r="I13" s="1259"/>
      <c r="J13" s="1259"/>
      <c r="K13" s="1260"/>
    </row>
    <row r="14" spans="1:11" s="114" customFormat="1" ht="12.75" customHeight="1" x14ac:dyDescent="0.25">
      <c r="A14" s="133">
        <v>1</v>
      </c>
      <c r="B14" s="134">
        <f>(B4*C14)+B4</f>
        <v>179.70374954880506</v>
      </c>
      <c r="C14" s="629">
        <f>IF(B5="NO",B7,D34)</f>
        <v>0.19735979710475321</v>
      </c>
      <c r="D14" s="633">
        <f t="shared" ref="D14:D23" si="0">B14/((1+$B$8)^A14)</f>
        <v>160.44977638286164</v>
      </c>
      <c r="F14" s="141" t="s">
        <v>117</v>
      </c>
      <c r="G14" s="408">
        <f>(B23*B9)+B23</f>
        <v>618.61949684378169</v>
      </c>
      <c r="H14" s="1261"/>
      <c r="I14" s="1262"/>
      <c r="J14" s="1262"/>
      <c r="K14" s="1263"/>
    </row>
    <row r="15" spans="1:11" s="114" customFormat="1" ht="12.75" customHeight="1" x14ac:dyDescent="0.25">
      <c r="A15" s="133">
        <v>2</v>
      </c>
      <c r="B15" s="134">
        <f t="shared" ref="B15:B23" si="1">(B14*C15)+B14</f>
        <v>215.17004509872061</v>
      </c>
      <c r="C15" s="629">
        <f>IF(B5="NO",B7,D35)</f>
        <v>0.19735979710475321</v>
      </c>
      <c r="D15" s="633">
        <f t="shared" si="0"/>
        <v>171.532242585077</v>
      </c>
      <c r="F15" s="142" t="s">
        <v>118</v>
      </c>
      <c r="G15" s="408">
        <f>SUM(D14:D23)</f>
        <v>1976.0332148668556</v>
      </c>
      <c r="H15" s="1261"/>
      <c r="I15" s="1262"/>
      <c r="J15" s="1262"/>
      <c r="K15" s="1263"/>
    </row>
    <row r="16" spans="1:11" s="114" customFormat="1" ht="12.75" customHeight="1" x14ac:dyDescent="0.25">
      <c r="A16" s="133">
        <v>3</v>
      </c>
      <c r="B16" s="134">
        <f t="shared" si="1"/>
        <v>257.6359615424247</v>
      </c>
      <c r="C16" s="629">
        <f>IF(B5="NO",B7,D36)</f>
        <v>0.19735979710475321</v>
      </c>
      <c r="D16" s="633">
        <f t="shared" si="0"/>
        <v>183.38018855231346</v>
      </c>
      <c r="F16" s="141" t="s">
        <v>119</v>
      </c>
      <c r="G16" s="408">
        <f>((G14)/($B$8-$B$9))/(1+$B$8)^A23</f>
        <v>2414.2899589927306</v>
      </c>
      <c r="H16" s="1261"/>
      <c r="I16" s="1262"/>
      <c r="J16" s="1262"/>
      <c r="K16" s="1263"/>
    </row>
    <row r="17" spans="1:21" s="114" customFormat="1" ht="12.75" customHeight="1" x14ac:dyDescent="0.25">
      <c r="A17" s="133">
        <v>4</v>
      </c>
      <c r="B17" s="134">
        <f t="shared" si="1"/>
        <v>308.48294263932564</v>
      </c>
      <c r="C17" s="629">
        <f>IF(B5="NO",B7,D37)</f>
        <v>0.19735979710475321</v>
      </c>
      <c r="D17" s="633">
        <f t="shared" si="0"/>
        <v>196.04648692681198</v>
      </c>
      <c r="F17" s="141" t="s">
        <v>120</v>
      </c>
      <c r="G17" s="408">
        <f>G15+G16</f>
        <v>4390.3231738595859</v>
      </c>
      <c r="H17" s="1261"/>
      <c r="I17" s="1262"/>
      <c r="J17" s="1262"/>
      <c r="K17" s="1263"/>
    </row>
    <row r="18" spans="1:21" s="114" customFormat="1" ht="12.75" customHeight="1" x14ac:dyDescent="0.25">
      <c r="A18" s="133">
        <v>5</v>
      </c>
      <c r="B18" s="134">
        <f t="shared" si="1"/>
        <v>369.36507360890016</v>
      </c>
      <c r="C18" s="629">
        <f>IF(B5="NO",B7,D38)</f>
        <v>0.19735979710475321</v>
      </c>
      <c r="D18" s="633">
        <f t="shared" si="0"/>
        <v>209.58766233016718</v>
      </c>
      <c r="F18" s="141" t="s">
        <v>130</v>
      </c>
      <c r="G18" s="408">
        <f>'Data Sheet'!B9</f>
        <v>7087.5</v>
      </c>
      <c r="H18" s="1261"/>
      <c r="I18" s="1262"/>
      <c r="J18" s="1262"/>
      <c r="K18" s="1263"/>
    </row>
    <row r="19" spans="1:21" s="114" customFormat="1" ht="12.75" customHeight="1" x14ac:dyDescent="0.25">
      <c r="A19" s="133">
        <v>6</v>
      </c>
      <c r="B19" s="134">
        <f t="shared" si="1"/>
        <v>430.45356444899471</v>
      </c>
      <c r="C19" s="629">
        <f>IF(B5="NO",B7,D39)</f>
        <v>0.16538783768380255</v>
      </c>
      <c r="D19" s="633">
        <f t="shared" si="0"/>
        <v>218.08117197156827</v>
      </c>
      <c r="F19" s="414" t="s">
        <v>188</v>
      </c>
      <c r="G19" s="409">
        <f>summary!B7</f>
        <v>520.20000000000005</v>
      </c>
      <c r="H19" s="1261"/>
      <c r="I19" s="1262"/>
      <c r="J19" s="1262"/>
      <c r="K19" s="1263"/>
    </row>
    <row r="20" spans="1:21" s="114" customFormat="1" ht="12.75" customHeight="1" thickBot="1" x14ac:dyDescent="0.3">
      <c r="A20" s="133">
        <v>7</v>
      </c>
      <c r="B20" s="134">
        <f t="shared" si="1"/>
        <v>487.88290480133247</v>
      </c>
      <c r="C20" s="629">
        <f>IF(B5="NO",B7,D40)</f>
        <v>0.13341587826285192</v>
      </c>
      <c r="D20" s="633">
        <f t="shared" si="0"/>
        <v>220.69344916316703</v>
      </c>
      <c r="F20" s="415" t="s">
        <v>189</v>
      </c>
      <c r="G20" s="662">
        <f>G17/summary!B9</f>
        <v>322.23578342740836</v>
      </c>
      <c r="H20" s="1264"/>
      <c r="I20" s="1265"/>
      <c r="J20" s="1265"/>
      <c r="K20" s="1266"/>
    </row>
    <row r="21" spans="1:21" s="114" customFormat="1" x14ac:dyDescent="0.25">
      <c r="A21" s="133">
        <v>8</v>
      </c>
      <c r="B21" s="134">
        <f t="shared" si="1"/>
        <v>537.37565860034988</v>
      </c>
      <c r="C21" s="629">
        <f>IF(B5="NO",B7,D41)</f>
        <v>0.10144391884190128</v>
      </c>
      <c r="D21" s="633">
        <f t="shared" si="0"/>
        <v>217.03701563304872</v>
      </c>
    </row>
    <row r="22" spans="1:21" s="114" customFormat="1" x14ac:dyDescent="0.25">
      <c r="A22" s="133">
        <v>9</v>
      </c>
      <c r="B22" s="134">
        <f t="shared" si="1"/>
        <v>574.70819854844001</v>
      </c>
      <c r="C22" s="629">
        <f>IF(B5="NO",B7,D42)</f>
        <v>6.9471959420950635E-2</v>
      </c>
      <c r="D22" s="633">
        <f t="shared" si="0"/>
        <v>207.24553783567154</v>
      </c>
    </row>
    <row r="23" spans="1:21" s="114" customFormat="1" ht="12" customHeight="1" thickBot="1" x14ac:dyDescent="0.3">
      <c r="A23" s="135">
        <v>10</v>
      </c>
      <c r="B23" s="136">
        <f t="shared" si="1"/>
        <v>596.25975599400647</v>
      </c>
      <c r="C23" s="630">
        <f>IF(B5="NO",B7,D43)</f>
        <v>3.7499999999999999E-2</v>
      </c>
      <c r="D23" s="634">
        <f t="shared" si="0"/>
        <v>191.97968348616891</v>
      </c>
    </row>
    <row r="24" spans="1:21" s="114" customFormat="1" x14ac:dyDescent="0.25">
      <c r="A24" s="137"/>
      <c r="B24" s="138"/>
      <c r="C24" s="139"/>
      <c r="D24" s="140"/>
    </row>
    <row r="25" spans="1:21" s="114" customFormat="1" ht="13.5" thickBot="1" x14ac:dyDescent="0.3">
      <c r="C25" s="139"/>
      <c r="D25" s="140"/>
    </row>
    <row r="26" spans="1:21" s="114" customFormat="1" ht="13.5" thickTop="1" x14ac:dyDescent="0.25">
      <c r="A26" s="1291" t="s">
        <v>473</v>
      </c>
      <c r="B26" s="1292"/>
      <c r="C26" s="1292"/>
      <c r="D26" s="1292"/>
      <c r="E26" s="1292"/>
      <c r="F26" s="1292"/>
      <c r="G26" s="1292"/>
      <c r="H26" s="1292"/>
      <c r="I26" s="1293"/>
    </row>
    <row r="27" spans="1:21" s="114" customFormat="1" ht="13.5" thickBot="1" x14ac:dyDescent="0.3">
      <c r="A27" s="1294"/>
      <c r="B27" s="1295"/>
      <c r="C27" s="1295"/>
      <c r="D27" s="1295"/>
      <c r="E27" s="1295"/>
      <c r="F27" s="1295"/>
      <c r="G27" s="1295"/>
      <c r="H27" s="1295"/>
      <c r="I27" s="1296"/>
    </row>
    <row r="28" spans="1:21" s="114" customFormat="1" ht="14.25" thickTop="1" thickBot="1" x14ac:dyDescent="0.3">
      <c r="C28" s="132"/>
    </row>
    <row r="29" spans="1:21" s="114" customFormat="1" ht="13.5" thickBot="1" x14ac:dyDescent="0.3">
      <c r="D29" s="1297" t="s">
        <v>474</v>
      </c>
      <c r="E29" s="1298"/>
      <c r="F29" s="1299"/>
      <c r="T29" s="761"/>
    </row>
    <row r="30" spans="1:21" s="114" customFormat="1" ht="13.5" thickBot="1" x14ac:dyDescent="0.3">
      <c r="J30" s="761"/>
      <c r="L30" s="1300" t="s">
        <v>626</v>
      </c>
      <c r="M30" s="1301"/>
      <c r="N30" s="1301"/>
      <c r="O30" s="1302"/>
    </row>
    <row r="31" spans="1:21" ht="15.75" customHeight="1" thickBot="1" x14ac:dyDescent="0.25">
      <c r="A31" s="1288" t="s">
        <v>479</v>
      </c>
      <c r="B31" s="1289"/>
      <c r="C31" s="1289"/>
      <c r="D31" s="1290"/>
      <c r="E31" s="328"/>
      <c r="F31" s="1310" t="s">
        <v>619</v>
      </c>
      <c r="G31" s="1311"/>
      <c r="H31" s="1311"/>
      <c r="I31" s="1312"/>
      <c r="L31" s="1288" t="s">
        <v>479</v>
      </c>
      <c r="M31" s="1289"/>
      <c r="N31" s="1289"/>
      <c r="O31" s="1290"/>
      <c r="P31" s="328"/>
      <c r="Q31" s="1310" t="s">
        <v>624</v>
      </c>
      <c r="R31" s="1311"/>
      <c r="S31" s="1311"/>
      <c r="T31" s="1312"/>
    </row>
    <row r="32" spans="1:21" ht="15.75" thickBot="1" x14ac:dyDescent="0.3">
      <c r="A32" s="631" t="s">
        <v>233</v>
      </c>
      <c r="B32" s="658" t="s">
        <v>475</v>
      </c>
      <c r="C32" s="658" t="s">
        <v>325</v>
      </c>
      <c r="D32" s="659" t="s">
        <v>476</v>
      </c>
      <c r="F32" s="767" t="str">
        <f>A32</f>
        <v>YEAR</v>
      </c>
      <c r="G32" s="764" t="s">
        <v>46</v>
      </c>
      <c r="H32" s="764" t="s">
        <v>332</v>
      </c>
      <c r="I32" s="768" t="s">
        <v>617</v>
      </c>
      <c r="J32" s="800" t="s">
        <v>636</v>
      </c>
      <c r="L32" s="631" t="s">
        <v>233</v>
      </c>
      <c r="M32" s="658" t="s">
        <v>475</v>
      </c>
      <c r="N32" s="658" t="s">
        <v>325</v>
      </c>
      <c r="O32" s="659" t="s">
        <v>476</v>
      </c>
      <c r="Q32" s="767" t="str">
        <f>L32</f>
        <v>YEAR</v>
      </c>
      <c r="R32" s="764" t="s">
        <v>46</v>
      </c>
      <c r="S32" s="764" t="s">
        <v>332</v>
      </c>
      <c r="T32" s="768" t="s">
        <v>617</v>
      </c>
      <c r="U32" s="800" t="s">
        <v>636</v>
      </c>
    </row>
    <row r="33" spans="1:22" ht="15" x14ac:dyDescent="0.25">
      <c r="A33" s="632" t="s">
        <v>477</v>
      </c>
      <c r="B33" s="804">
        <f>Profitability!K18</f>
        <v>0.24684401003077625</v>
      </c>
      <c r="C33" s="804">
        <f>100%-'Income statement'!K22</f>
        <v>0.79953245403907758</v>
      </c>
      <c r="D33" s="491">
        <f t="shared" ref="D33:D38" si="2">B33*C33</f>
        <v>0.19735979710475321</v>
      </c>
      <c r="F33" s="632" t="str">
        <f t="shared" ref="F33:F43" si="3">A33</f>
        <v>CURRENT</v>
      </c>
      <c r="G33" s="762">
        <f>'Income statement'!L18</f>
        <v>26.248906666666667</v>
      </c>
      <c r="H33" s="763">
        <f>1-C33</f>
        <v>0.20046754596092242</v>
      </c>
      <c r="I33" s="769">
        <f>G33*H33</f>
        <v>5.2620539036239631</v>
      </c>
      <c r="J33" s="796"/>
      <c r="L33" s="632" t="s">
        <v>477</v>
      </c>
      <c r="M33" s="661">
        <f>$B$33</f>
        <v>0.24684401003077625</v>
      </c>
      <c r="N33" s="661">
        <f>O33/M33</f>
        <v>0.60767121706254146</v>
      </c>
      <c r="O33" s="491">
        <f>$B$7</f>
        <v>0.15</v>
      </c>
      <c r="Q33" s="632" t="str">
        <f t="shared" ref="Q33:Q43" si="4">L33</f>
        <v>CURRENT</v>
      </c>
      <c r="R33" s="762">
        <f>G33</f>
        <v>26.248906666666667</v>
      </c>
      <c r="S33" s="763">
        <f>1-N33</f>
        <v>0.39232878293745854</v>
      </c>
      <c r="T33" s="769">
        <f>R33*S33</f>
        <v>10.298201605972276</v>
      </c>
      <c r="U33" s="796"/>
    </row>
    <row r="34" spans="1:22" ht="15" x14ac:dyDescent="0.25">
      <c r="A34" s="632">
        <v>1</v>
      </c>
      <c r="B34" s="655">
        <f>B33</f>
        <v>0.24684401003077625</v>
      </c>
      <c r="C34" s="655">
        <f>C33</f>
        <v>0.79953245403907758</v>
      </c>
      <c r="D34" s="491">
        <f t="shared" si="2"/>
        <v>0.19735979710475321</v>
      </c>
      <c r="F34" s="632">
        <f t="shared" si="3"/>
        <v>1</v>
      </c>
      <c r="G34" s="762">
        <f>G33*(1+D34)</f>
        <v>31.429385560621601</v>
      </c>
      <c r="H34" s="763">
        <f t="shared" ref="H34:H43" si="5">1-C34</f>
        <v>0.20046754596092242</v>
      </c>
      <c r="I34" s="769">
        <f t="shared" ref="I34:I43" si="6">G34*H34</f>
        <v>6.3005717943974622</v>
      </c>
      <c r="J34" s="797">
        <f>I34/((1+$B$8)^A14)</f>
        <v>5.6255105307120195</v>
      </c>
      <c r="L34" s="632">
        <v>1</v>
      </c>
      <c r="M34" s="661">
        <f t="shared" ref="M34:M43" si="7">$B$33</f>
        <v>0.24684401003077625</v>
      </c>
      <c r="N34" s="661">
        <f t="shared" ref="N34:N43" si="8">O34/M34</f>
        <v>0.60767121706254146</v>
      </c>
      <c r="O34" s="491">
        <f t="shared" ref="O34:O43" si="9">$B$7</f>
        <v>0.15</v>
      </c>
      <c r="Q34" s="632">
        <f t="shared" si="4"/>
        <v>1</v>
      </c>
      <c r="R34" s="762">
        <f>R33*(1+O34)</f>
        <v>30.186242666666665</v>
      </c>
      <c r="S34" s="763">
        <f t="shared" ref="S34:S43" si="10">1-N34</f>
        <v>0.39232878293745854</v>
      </c>
      <c r="T34" s="769">
        <f t="shared" ref="T34:T43" si="11">R34*S34</f>
        <v>11.842931846868115</v>
      </c>
      <c r="U34" s="797">
        <f>T34/((1+$B$8)^A14)</f>
        <v>10.57404629184653</v>
      </c>
    </row>
    <row r="35" spans="1:22" ht="15" x14ac:dyDescent="0.25">
      <c r="A35" s="632">
        <v>2</v>
      </c>
      <c r="B35" s="655">
        <f>B33</f>
        <v>0.24684401003077625</v>
      </c>
      <c r="C35" s="655">
        <f>C33</f>
        <v>0.79953245403907758</v>
      </c>
      <c r="D35" s="491">
        <f t="shared" si="2"/>
        <v>0.19735979710475321</v>
      </c>
      <c r="F35" s="632">
        <f t="shared" si="3"/>
        <v>2</v>
      </c>
      <c r="G35" s="762">
        <f t="shared" ref="G35:G43" si="12">G34*(1+D35)</f>
        <v>37.632282717992936</v>
      </c>
      <c r="H35" s="763">
        <f t="shared" si="5"/>
        <v>0.20046754596092242</v>
      </c>
      <c r="I35" s="769">
        <f t="shared" si="6"/>
        <v>7.5440513653836758</v>
      </c>
      <c r="J35" s="797">
        <f t="shared" ref="J35:J43" si="13">I35/((1+$B$8)^A15)</f>
        <v>6.0140715604142816</v>
      </c>
      <c r="L35" s="632">
        <v>2</v>
      </c>
      <c r="M35" s="661">
        <f t="shared" si="7"/>
        <v>0.24684401003077625</v>
      </c>
      <c r="N35" s="661">
        <f t="shared" si="8"/>
        <v>0.60767121706254146</v>
      </c>
      <c r="O35" s="491">
        <f t="shared" si="9"/>
        <v>0.15</v>
      </c>
      <c r="Q35" s="632">
        <f t="shared" si="4"/>
        <v>2</v>
      </c>
      <c r="R35" s="762">
        <f t="shared" ref="R35:R43" si="14">R34*(1+O35)</f>
        <v>34.714179066666659</v>
      </c>
      <c r="S35" s="763">
        <f t="shared" si="10"/>
        <v>0.39232878293745854</v>
      </c>
      <c r="T35" s="769">
        <f t="shared" si="11"/>
        <v>13.619371623898331</v>
      </c>
      <c r="U35" s="797">
        <f t="shared" ref="U35:U43" si="15">T35/((1+$B$8)^A15)</f>
        <v>10.857279674663847</v>
      </c>
    </row>
    <row r="36" spans="1:22" ht="15" x14ac:dyDescent="0.25">
      <c r="A36" s="632">
        <v>3</v>
      </c>
      <c r="B36" s="655">
        <f>B33</f>
        <v>0.24684401003077625</v>
      </c>
      <c r="C36" s="655">
        <f>C33</f>
        <v>0.79953245403907758</v>
      </c>
      <c r="D36" s="491">
        <f t="shared" si="2"/>
        <v>0.19735979710475321</v>
      </c>
      <c r="F36" s="632">
        <f t="shared" si="3"/>
        <v>3</v>
      </c>
      <c r="G36" s="762">
        <f t="shared" si="12"/>
        <v>45.059382399804733</v>
      </c>
      <c r="H36" s="763">
        <f t="shared" si="5"/>
        <v>0.20046754596092242</v>
      </c>
      <c r="I36" s="769">
        <f t="shared" si="6"/>
        <v>9.0329438122036336</v>
      </c>
      <c r="J36" s="797">
        <f t="shared" si="13"/>
        <v>6.4294709851349188</v>
      </c>
      <c r="L36" s="632">
        <v>3</v>
      </c>
      <c r="M36" s="661">
        <f t="shared" si="7"/>
        <v>0.24684401003077625</v>
      </c>
      <c r="N36" s="661">
        <f t="shared" si="8"/>
        <v>0.60767121706254146</v>
      </c>
      <c r="O36" s="491">
        <f t="shared" si="9"/>
        <v>0.15</v>
      </c>
      <c r="Q36" s="632">
        <f t="shared" si="4"/>
        <v>3</v>
      </c>
      <c r="R36" s="762">
        <f t="shared" si="14"/>
        <v>39.921305926666655</v>
      </c>
      <c r="S36" s="763">
        <f t="shared" si="10"/>
        <v>0.39232878293745854</v>
      </c>
      <c r="T36" s="769">
        <f t="shared" si="11"/>
        <v>15.66227736748308</v>
      </c>
      <c r="U36" s="797">
        <f t="shared" si="15"/>
        <v>11.148099665949482</v>
      </c>
    </row>
    <row r="37" spans="1:22" ht="15" x14ac:dyDescent="0.25">
      <c r="A37" s="632">
        <v>4</v>
      </c>
      <c r="B37" s="655">
        <f>B33</f>
        <v>0.24684401003077625</v>
      </c>
      <c r="C37" s="655">
        <f>C33</f>
        <v>0.79953245403907758</v>
      </c>
      <c r="D37" s="491">
        <f t="shared" si="2"/>
        <v>0.19735979710475321</v>
      </c>
      <c r="F37" s="632">
        <f t="shared" si="3"/>
        <v>4</v>
      </c>
      <c r="G37" s="762">
        <f t="shared" si="12"/>
        <v>53.95229296789568</v>
      </c>
      <c r="H37" s="763">
        <f t="shared" si="5"/>
        <v>0.20046754596092242</v>
      </c>
      <c r="I37" s="769">
        <f t="shared" si="6"/>
        <v>10.815683770238779</v>
      </c>
      <c r="J37" s="797">
        <f t="shared" si="13"/>
        <v>6.873562566296469</v>
      </c>
      <c r="L37" s="632">
        <v>4</v>
      </c>
      <c r="M37" s="661">
        <f t="shared" si="7"/>
        <v>0.24684401003077625</v>
      </c>
      <c r="N37" s="661">
        <f t="shared" si="8"/>
        <v>0.60767121706254146</v>
      </c>
      <c r="O37" s="491">
        <f t="shared" si="9"/>
        <v>0.15</v>
      </c>
      <c r="Q37" s="632">
        <f t="shared" si="4"/>
        <v>4</v>
      </c>
      <c r="R37" s="762">
        <f t="shared" si="14"/>
        <v>45.909501815666651</v>
      </c>
      <c r="S37" s="763">
        <f t="shared" si="10"/>
        <v>0.39232878293745854</v>
      </c>
      <c r="T37" s="769">
        <f t="shared" si="11"/>
        <v>18.01161897260554</v>
      </c>
      <c r="U37" s="797">
        <f t="shared" si="15"/>
        <v>11.446709478430272</v>
      </c>
    </row>
    <row r="38" spans="1:22" ht="15" x14ac:dyDescent="0.25">
      <c r="A38" s="632">
        <v>5</v>
      </c>
      <c r="B38" s="655">
        <f>B33</f>
        <v>0.24684401003077625</v>
      </c>
      <c r="C38" s="655">
        <f>C33</f>
        <v>0.79953245403907758</v>
      </c>
      <c r="D38" s="491">
        <f t="shared" si="2"/>
        <v>0.19735979710475321</v>
      </c>
      <c r="F38" s="632">
        <f t="shared" si="3"/>
        <v>5</v>
      </c>
      <c r="G38" s="762">
        <f t="shared" si="12"/>
        <v>64.600306561375774</v>
      </c>
      <c r="H38" s="763">
        <f t="shared" si="5"/>
        <v>0.20046754596092242</v>
      </c>
      <c r="I38" s="769">
        <f t="shared" si="6"/>
        <v>12.950264924682276</v>
      </c>
      <c r="J38" s="797">
        <f t="shared" si="13"/>
        <v>7.3483281069353259</v>
      </c>
      <c r="L38" s="632">
        <v>5</v>
      </c>
      <c r="M38" s="661">
        <f t="shared" si="7"/>
        <v>0.24684401003077625</v>
      </c>
      <c r="N38" s="661">
        <f t="shared" si="8"/>
        <v>0.60767121706254146</v>
      </c>
      <c r="O38" s="491">
        <f t="shared" si="9"/>
        <v>0.15</v>
      </c>
      <c r="Q38" s="632">
        <f t="shared" si="4"/>
        <v>5</v>
      </c>
      <c r="R38" s="762">
        <f t="shared" si="14"/>
        <v>52.795927088016647</v>
      </c>
      <c r="S38" s="763">
        <f t="shared" si="10"/>
        <v>0.39232878293745854</v>
      </c>
      <c r="T38" s="769">
        <f t="shared" si="11"/>
        <v>20.71336181849637</v>
      </c>
      <c r="U38" s="797">
        <f t="shared" si="15"/>
        <v>11.753317768031081</v>
      </c>
    </row>
    <row r="39" spans="1:22" ht="15" x14ac:dyDescent="0.25">
      <c r="A39" s="632">
        <v>6</v>
      </c>
      <c r="B39" s="655">
        <f>B38-((B38-B44)/5)</f>
        <v>0.22747520802462098</v>
      </c>
      <c r="C39" s="655">
        <f>C38-((C38-C44)/5)</f>
        <v>0.68962596323126202</v>
      </c>
      <c r="D39" s="491">
        <f>D38-((D38-D44)/5)</f>
        <v>0.16538783768380255</v>
      </c>
      <c r="F39" s="632">
        <f t="shared" si="3"/>
        <v>6</v>
      </c>
      <c r="G39" s="762">
        <f t="shared" si="12"/>
        <v>75.284411577272479</v>
      </c>
      <c r="H39" s="763">
        <f t="shared" si="5"/>
        <v>0.31037403676873798</v>
      </c>
      <c r="I39" s="769">
        <f t="shared" si="6"/>
        <v>23.366326726997173</v>
      </c>
      <c r="J39" s="797">
        <f t="shared" si="13"/>
        <v>11.838108307494171</v>
      </c>
      <c r="L39" s="632">
        <v>6</v>
      </c>
      <c r="M39" s="661">
        <f t="shared" si="7"/>
        <v>0.24684401003077625</v>
      </c>
      <c r="N39" s="661">
        <f t="shared" si="8"/>
        <v>0.60767121706254146</v>
      </c>
      <c r="O39" s="491">
        <f t="shared" si="9"/>
        <v>0.15</v>
      </c>
      <c r="Q39" s="632">
        <f t="shared" si="4"/>
        <v>6</v>
      </c>
      <c r="R39" s="762">
        <f t="shared" si="14"/>
        <v>60.715316151219142</v>
      </c>
      <c r="S39" s="763">
        <f t="shared" si="10"/>
        <v>0.39232878293745854</v>
      </c>
      <c r="T39" s="769">
        <f t="shared" si="11"/>
        <v>23.820366091270824</v>
      </c>
      <c r="U39" s="797">
        <f t="shared" si="15"/>
        <v>12.068138779674769</v>
      </c>
    </row>
    <row r="40" spans="1:22" ht="15" x14ac:dyDescent="0.25">
      <c r="A40" s="632">
        <v>7</v>
      </c>
      <c r="B40" s="655">
        <f>B38-((B38-B44)/5)*2</f>
        <v>0.20810640601846575</v>
      </c>
      <c r="C40" s="655">
        <f>C38-((C38-C44)/5)*2</f>
        <v>0.57971947242344657</v>
      </c>
      <c r="D40" s="491">
        <f>D38-((D38-D44)/5)*2</f>
        <v>0.13341587826285192</v>
      </c>
      <c r="F40" s="632">
        <f t="shared" si="3"/>
        <v>7</v>
      </c>
      <c r="G40" s="762">
        <f t="shared" si="12"/>
        <v>85.328547467356302</v>
      </c>
      <c r="H40" s="763">
        <f t="shared" si="5"/>
        <v>0.42028052757655343</v>
      </c>
      <c r="I40" s="769">
        <f t="shared" si="6"/>
        <v>35.861926946921486</v>
      </c>
      <c r="J40" s="797">
        <f t="shared" si="13"/>
        <v>16.222114514908927</v>
      </c>
      <c r="L40" s="632">
        <v>7</v>
      </c>
      <c r="M40" s="661">
        <f t="shared" si="7"/>
        <v>0.24684401003077625</v>
      </c>
      <c r="N40" s="661">
        <f t="shared" si="8"/>
        <v>0.60767121706254146</v>
      </c>
      <c r="O40" s="491">
        <f t="shared" si="9"/>
        <v>0.15</v>
      </c>
      <c r="Q40" s="632">
        <f t="shared" si="4"/>
        <v>7</v>
      </c>
      <c r="R40" s="762">
        <f t="shared" si="14"/>
        <v>69.822613573902004</v>
      </c>
      <c r="S40" s="763">
        <f t="shared" si="10"/>
        <v>0.39232878293745854</v>
      </c>
      <c r="T40" s="769">
        <f t="shared" si="11"/>
        <v>27.393421004961446</v>
      </c>
      <c r="U40" s="797">
        <f t="shared" si="15"/>
        <v>12.391392496987486</v>
      </c>
    </row>
    <row r="41" spans="1:22" ht="15" x14ac:dyDescent="0.25">
      <c r="A41" s="632">
        <v>8</v>
      </c>
      <c r="B41" s="655">
        <f>B38-((B38-B44)/5)*3</f>
        <v>0.18873760401231049</v>
      </c>
      <c r="C41" s="655">
        <f>C38-((C38-C44)/5)*3</f>
        <v>0.46981298161563101</v>
      </c>
      <c r="D41" s="491">
        <f>D38-((D38-D44)/5)*3</f>
        <v>0.10144391884190128</v>
      </c>
      <c r="F41" s="632">
        <f t="shared" si="3"/>
        <v>8</v>
      </c>
      <c r="G41" s="762">
        <f t="shared" si="12"/>
        <v>93.984609711532102</v>
      </c>
      <c r="H41" s="763">
        <f t="shared" si="5"/>
        <v>0.53018701838436899</v>
      </c>
      <c r="I41" s="769">
        <f t="shared" si="6"/>
        <v>49.829419996975815</v>
      </c>
      <c r="J41" s="797">
        <f t="shared" si="13"/>
        <v>20.125266996718317</v>
      </c>
      <c r="L41" s="632">
        <v>8</v>
      </c>
      <c r="M41" s="661">
        <f t="shared" si="7"/>
        <v>0.24684401003077625</v>
      </c>
      <c r="N41" s="661">
        <f t="shared" si="8"/>
        <v>0.60767121706254146</v>
      </c>
      <c r="O41" s="491">
        <f t="shared" si="9"/>
        <v>0.15</v>
      </c>
      <c r="Q41" s="632">
        <f t="shared" si="4"/>
        <v>8</v>
      </c>
      <c r="R41" s="762">
        <f t="shared" si="14"/>
        <v>80.296005609987304</v>
      </c>
      <c r="S41" s="763">
        <f t="shared" si="10"/>
        <v>0.39232878293745854</v>
      </c>
      <c r="T41" s="769">
        <f t="shared" si="11"/>
        <v>31.502434155705661</v>
      </c>
      <c r="U41" s="797">
        <f t="shared" si="15"/>
        <v>12.723304796013934</v>
      </c>
    </row>
    <row r="42" spans="1:22" ht="15" x14ac:dyDescent="0.25">
      <c r="A42" s="632">
        <v>9</v>
      </c>
      <c r="B42" s="655">
        <f>B38-((B38-B44)/5)*4</f>
        <v>0.16936880200615523</v>
      </c>
      <c r="C42" s="655">
        <f>C38-((C38-C44)/5)*4</f>
        <v>0.3599064908078155</v>
      </c>
      <c r="D42" s="491">
        <f>D38-((D38-D44)/5)*4</f>
        <v>6.9471959420950635E-2</v>
      </c>
      <c r="F42" s="632">
        <f t="shared" si="3"/>
        <v>9</v>
      </c>
      <c r="G42" s="762">
        <f t="shared" si="12"/>
        <v>100.51390470360555</v>
      </c>
      <c r="H42" s="763">
        <f t="shared" si="5"/>
        <v>0.64009350919218444</v>
      </c>
      <c r="I42" s="769">
        <f t="shared" si="6"/>
        <v>64.33829798433969</v>
      </c>
      <c r="J42" s="797">
        <f t="shared" si="13"/>
        <v>23.201035243405045</v>
      </c>
      <c r="L42" s="632">
        <v>9</v>
      </c>
      <c r="M42" s="661">
        <f t="shared" si="7"/>
        <v>0.24684401003077625</v>
      </c>
      <c r="N42" s="661">
        <f t="shared" si="8"/>
        <v>0.60767121706254146</v>
      </c>
      <c r="O42" s="491">
        <f t="shared" si="9"/>
        <v>0.15</v>
      </c>
      <c r="Q42" s="632">
        <f t="shared" si="4"/>
        <v>9</v>
      </c>
      <c r="R42" s="762">
        <f t="shared" si="14"/>
        <v>92.340406451485393</v>
      </c>
      <c r="S42" s="763">
        <f t="shared" si="10"/>
        <v>0.39232878293745854</v>
      </c>
      <c r="T42" s="769">
        <f t="shared" si="11"/>
        <v>36.227799279061507</v>
      </c>
      <c r="U42" s="797">
        <f t="shared" si="15"/>
        <v>13.064107603050021</v>
      </c>
    </row>
    <row r="43" spans="1:22" ht="15.75" thickBot="1" x14ac:dyDescent="0.3">
      <c r="A43" s="632">
        <v>10</v>
      </c>
      <c r="B43" s="655">
        <f>B44</f>
        <v>0.15</v>
      </c>
      <c r="C43" s="655">
        <f>C44</f>
        <v>0.25</v>
      </c>
      <c r="D43" s="491">
        <f>D44</f>
        <v>3.7499999999999999E-2</v>
      </c>
      <c r="F43" s="770">
        <f t="shared" si="3"/>
        <v>10</v>
      </c>
      <c r="G43" s="765">
        <f t="shared" si="12"/>
        <v>104.28317612999076</v>
      </c>
      <c r="H43" s="766">
        <f t="shared" si="5"/>
        <v>0.75</v>
      </c>
      <c r="I43" s="771">
        <f t="shared" si="6"/>
        <v>78.212382097493077</v>
      </c>
      <c r="J43" s="798">
        <f t="shared" si="13"/>
        <v>25.182293805398054</v>
      </c>
      <c r="L43" s="773">
        <v>10</v>
      </c>
      <c r="M43" s="774">
        <f t="shared" si="7"/>
        <v>0.24684401003077625</v>
      </c>
      <c r="N43" s="774">
        <f t="shared" si="8"/>
        <v>0.60767121706254146</v>
      </c>
      <c r="O43" s="496">
        <f t="shared" si="9"/>
        <v>0.15</v>
      </c>
      <c r="Q43" s="770">
        <f t="shared" si="4"/>
        <v>10</v>
      </c>
      <c r="R43" s="765">
        <f t="shared" si="14"/>
        <v>106.19146741920819</v>
      </c>
      <c r="S43" s="766">
        <f t="shared" si="10"/>
        <v>0.39232878293745854</v>
      </c>
      <c r="T43" s="771">
        <f t="shared" si="11"/>
        <v>41.661969170920734</v>
      </c>
      <c r="U43" s="797">
        <f t="shared" si="15"/>
        <v>13.414039056703144</v>
      </c>
    </row>
    <row r="44" spans="1:22" ht="15.75" thickBot="1" x14ac:dyDescent="0.3">
      <c r="A44" s="649" t="s">
        <v>478</v>
      </c>
      <c r="B44" s="656">
        <v>0.15</v>
      </c>
      <c r="C44" s="656">
        <v>0.25</v>
      </c>
      <c r="D44" s="496">
        <f>B44*C44</f>
        <v>3.7499999999999999E-2</v>
      </c>
      <c r="F44" s="1307" t="s">
        <v>618</v>
      </c>
      <c r="G44" s="1308"/>
      <c r="H44" s="1309"/>
      <c r="I44" s="775">
        <f>SUM(I34:I43)</f>
        <v>298.25186941963307</v>
      </c>
      <c r="J44" s="799">
        <f>SUM(J34:J43)</f>
        <v>128.85976261741752</v>
      </c>
      <c r="L44" s="772"/>
      <c r="M44" s="462"/>
      <c r="N44" s="462"/>
      <c r="O44" s="462"/>
      <c r="Q44" s="1307" t="s">
        <v>618</v>
      </c>
      <c r="R44" s="1308"/>
      <c r="S44" s="1309"/>
      <c r="T44" s="775">
        <f>SUM(T34:T43)</f>
        <v>240.45555133127164</v>
      </c>
      <c r="U44" s="799">
        <f>SUM(U34:U43)</f>
        <v>119.44043561135057</v>
      </c>
    </row>
    <row r="45" spans="1:22" s="643" customFormat="1" ht="15.75" thickBot="1" x14ac:dyDescent="0.3">
      <c r="A45" s="642"/>
      <c r="B45" s="462"/>
      <c r="C45" s="462"/>
      <c r="D45" s="462"/>
      <c r="E45" s="462"/>
      <c r="M45" s="794"/>
    </row>
    <row r="46" spans="1:22" s="643" customFormat="1" ht="15.75" thickBot="1" x14ac:dyDescent="0.3">
      <c r="A46" s="642"/>
      <c r="B46" s="462"/>
      <c r="C46" s="462"/>
      <c r="D46" s="462"/>
      <c r="E46" s="462"/>
      <c r="G46" s="1303" t="s">
        <v>620</v>
      </c>
      <c r="H46" s="1304"/>
      <c r="I46" s="775">
        <f>summary!B7</f>
        <v>520.20000000000005</v>
      </c>
      <c r="N46" s="794"/>
      <c r="R46" s="1305" t="s">
        <v>620</v>
      </c>
      <c r="S46" s="1306"/>
      <c r="T46" s="775">
        <f>I46</f>
        <v>520.20000000000005</v>
      </c>
    </row>
    <row r="47" spans="1:22" s="643" customFormat="1" ht="15.75" thickBot="1" x14ac:dyDescent="0.3">
      <c r="A47" s="642"/>
      <c r="B47" s="462"/>
      <c r="C47" s="462"/>
      <c r="D47" s="462"/>
      <c r="E47" s="462"/>
      <c r="F47" s="1241" t="s">
        <v>630</v>
      </c>
      <c r="G47" s="1242"/>
      <c r="H47" s="1243"/>
      <c r="I47" s="775">
        <f>'Total Returns'!B12/'Data Sheet'!B6</f>
        <v>2085.6635225998143</v>
      </c>
      <c r="Q47" s="1241" t="s">
        <v>630</v>
      </c>
      <c r="R47" s="1242"/>
      <c r="S47" s="1243"/>
      <c r="T47" s="775">
        <f>'Total Returns'!B12/'Data Sheet'!B6</f>
        <v>2085.6635225998143</v>
      </c>
      <c r="U47" s="794"/>
    </row>
    <row r="48" spans="1:22" ht="15.75" customHeight="1" thickBot="1" x14ac:dyDescent="0.25">
      <c r="F48" s="1241" t="s">
        <v>629</v>
      </c>
      <c r="G48" s="1242"/>
      <c r="H48" s="1243"/>
      <c r="I48" s="776">
        <f>('Total Returns'!B12+DCF!I57)/'Data Sheet'!B6</f>
        <v>2383.9153920194472</v>
      </c>
      <c r="Q48" s="1241" t="s">
        <v>629</v>
      </c>
      <c r="R48" s="1242"/>
      <c r="S48" s="1243"/>
      <c r="T48" s="776">
        <f>T44+T47</f>
        <v>2326.1190739310859</v>
      </c>
      <c r="U48" s="792"/>
      <c r="V48" s="692"/>
    </row>
    <row r="49" spans="1:22" ht="15.75" customHeight="1" thickBot="1" x14ac:dyDescent="0.25">
      <c r="F49" s="793"/>
      <c r="G49" s="1241" t="s">
        <v>518</v>
      </c>
      <c r="H49" s="1243"/>
      <c r="I49" s="777">
        <f>(I48/I46)^(1/10)-1</f>
        <v>0.16442641537999347</v>
      </c>
      <c r="R49" s="1241" t="s">
        <v>518</v>
      </c>
      <c r="S49" s="1243"/>
      <c r="T49" s="777">
        <f>(T48/T46)^(1/10)-1</f>
        <v>0.16157206623082798</v>
      </c>
      <c r="U49" s="792"/>
      <c r="V49" s="692"/>
    </row>
    <row r="50" spans="1:22" ht="13.5" thickBot="1" x14ac:dyDescent="0.25">
      <c r="A50" s="8" t="s">
        <v>623</v>
      </c>
    </row>
    <row r="51" spans="1:22" ht="15.75" customHeight="1" thickBot="1" x14ac:dyDescent="0.25">
      <c r="G51" s="1244" t="s">
        <v>621</v>
      </c>
      <c r="H51" s="1245"/>
      <c r="I51" s="1245"/>
      <c r="J51" s="1245"/>
      <c r="K51" s="1246"/>
      <c r="R51" s="1244" t="s">
        <v>621</v>
      </c>
      <c r="S51" s="1245"/>
      <c r="T51" s="1245"/>
      <c r="U51" s="1246"/>
      <c r="V51" s="780"/>
    </row>
    <row r="52" spans="1:22" ht="13.5" thickBot="1" x14ac:dyDescent="0.25">
      <c r="A52" s="638" t="s">
        <v>233</v>
      </c>
      <c r="B52" s="115" t="s">
        <v>186</v>
      </c>
      <c r="C52" s="637" t="s">
        <v>480</v>
      </c>
      <c r="D52" s="638" t="s">
        <v>106</v>
      </c>
      <c r="G52" s="676"/>
      <c r="H52" s="13"/>
      <c r="I52" s="13"/>
      <c r="J52" s="13"/>
      <c r="K52" s="675"/>
      <c r="R52" s="13"/>
      <c r="S52" s="13"/>
      <c r="T52" s="13"/>
      <c r="U52" s="13"/>
      <c r="V52" s="13"/>
    </row>
    <row r="53" spans="1:22" ht="13.5" thickBot="1" x14ac:dyDescent="0.25">
      <c r="A53" s="638" t="s">
        <v>477</v>
      </c>
      <c r="B53" s="640">
        <f>'Cash Flow'!K4</f>
        <v>125.09</v>
      </c>
      <c r="C53" s="639">
        <v>0.5</v>
      </c>
      <c r="D53" s="640">
        <f t="shared" ref="D53:D63" si="16">B53*(1-C53)</f>
        <v>62.545000000000002</v>
      </c>
      <c r="G53" s="1244" t="s">
        <v>622</v>
      </c>
      <c r="H53" s="1246"/>
      <c r="I53" s="777">
        <f>(G43/G33)^(1/10)-1</f>
        <v>0.14791651243546977</v>
      </c>
      <c r="J53" s="1313">
        <f>I49-'Total Returns'!B20</f>
        <v>1.5459853300016535E-2</v>
      </c>
      <c r="K53" s="1246"/>
      <c r="R53" s="1244" t="s">
        <v>622</v>
      </c>
      <c r="S53" s="1246"/>
      <c r="T53" s="777">
        <f>B7</f>
        <v>0.15</v>
      </c>
      <c r="U53" s="777">
        <f>T49-'Total Returns'!B20</f>
        <v>1.2605504150851043E-2</v>
      </c>
      <c r="V53" s="780"/>
    </row>
    <row r="54" spans="1:22" ht="13.5" thickBot="1" x14ac:dyDescent="0.25">
      <c r="A54" s="638">
        <v>1</v>
      </c>
      <c r="B54" s="640">
        <f t="shared" ref="B54:B63" si="17">B53*(1+D34)</f>
        <v>149.77773701983358</v>
      </c>
      <c r="C54" s="639">
        <v>0.5</v>
      </c>
      <c r="D54" s="640">
        <f t="shared" si="16"/>
        <v>74.88886850991679</v>
      </c>
      <c r="G54" s="778"/>
      <c r="H54" s="7"/>
      <c r="I54" s="7"/>
      <c r="J54" s="7"/>
      <c r="K54" s="779"/>
      <c r="R54" s="7"/>
      <c r="S54" s="7"/>
      <c r="T54" s="7"/>
      <c r="U54" s="7"/>
      <c r="V54" s="7"/>
    </row>
    <row r="55" spans="1:22" ht="13.5" thickBot="1" x14ac:dyDescent="0.25">
      <c r="A55" s="638">
        <v>2</v>
      </c>
      <c r="B55" s="640">
        <f t="shared" si="17"/>
        <v>179.33784080887702</v>
      </c>
      <c r="C55" s="639">
        <v>0.5</v>
      </c>
      <c r="D55" s="640">
        <f t="shared" si="16"/>
        <v>89.668920404438509</v>
      </c>
      <c r="G55" s="1244" t="s">
        <v>622</v>
      </c>
      <c r="H55" s="1246"/>
      <c r="I55" s="1313">
        <f>I53+J53</f>
        <v>0.16337636573548631</v>
      </c>
      <c r="J55" s="1315"/>
      <c r="K55" s="1314"/>
      <c r="R55" s="1244" t="s">
        <v>622</v>
      </c>
      <c r="S55" s="1246"/>
      <c r="T55" s="1313">
        <f>T53+U53</f>
        <v>0.16260550415085104</v>
      </c>
      <c r="U55" s="1314"/>
      <c r="V55" s="781"/>
    </row>
    <row r="56" spans="1:22" ht="13.5" thickBot="1" x14ac:dyDescent="0.25">
      <c r="A56" s="638">
        <v>3</v>
      </c>
      <c r="B56" s="640">
        <f t="shared" si="17"/>
        <v>214.73192068412152</v>
      </c>
      <c r="C56" s="639">
        <v>0.5</v>
      </c>
      <c r="D56" s="640">
        <f t="shared" si="16"/>
        <v>107.36596034206076</v>
      </c>
    </row>
    <row r="57" spans="1:22" ht="13.5" thickBot="1" x14ac:dyDescent="0.25">
      <c r="A57" s="638">
        <v>4</v>
      </c>
      <c r="B57" s="640">
        <f t="shared" si="17"/>
        <v>257.11136898225368</v>
      </c>
      <c r="C57" s="639">
        <v>0.5</v>
      </c>
      <c r="D57" s="640">
        <f t="shared" si="16"/>
        <v>128.55568449112684</v>
      </c>
      <c r="G57" s="1244" t="s">
        <v>627</v>
      </c>
      <c r="H57" s="1246"/>
      <c r="I57" s="776">
        <f>I44*'Data Sheet'!B6</f>
        <v>4063.5527191688757</v>
      </c>
      <c r="J57" s="780"/>
      <c r="K57" s="780"/>
      <c r="R57" s="1244" t="s">
        <v>627</v>
      </c>
      <c r="S57" s="1246"/>
      <c r="T57" s="776">
        <f>T44*'Data Sheet'!B6</f>
        <v>3276.1028836224291</v>
      </c>
      <c r="U57" s="780"/>
      <c r="V57" s="780"/>
    </row>
    <row r="58" spans="1:22" ht="13.5" thickBot="1" x14ac:dyDescent="0.25">
      <c r="A58" s="638">
        <v>5</v>
      </c>
      <c r="B58" s="640">
        <f t="shared" si="17"/>
        <v>307.85481659791657</v>
      </c>
      <c r="C58" s="639">
        <v>0.5</v>
      </c>
      <c r="D58" s="640">
        <f t="shared" si="16"/>
        <v>153.92740829895828</v>
      </c>
      <c r="G58" s="1319"/>
      <c r="H58" s="1319"/>
      <c r="I58" s="1319"/>
      <c r="J58" s="1319"/>
      <c r="K58" s="1319"/>
      <c r="R58" s="1319"/>
      <c r="S58" s="1319"/>
      <c r="T58" s="1319"/>
      <c r="U58" s="1319"/>
      <c r="V58" s="786"/>
    </row>
    <row r="59" spans="1:22" ht="13.5" thickBot="1" x14ac:dyDescent="0.25">
      <c r="A59" s="638">
        <v>6</v>
      </c>
      <c r="B59" s="640">
        <f t="shared" si="17"/>
        <v>358.77025903558956</v>
      </c>
      <c r="C59" s="639">
        <v>0.5</v>
      </c>
      <c r="D59" s="640">
        <f t="shared" si="16"/>
        <v>179.38512951779478</v>
      </c>
      <c r="G59" s="1244" t="s">
        <v>628</v>
      </c>
      <c r="H59" s="1245"/>
      <c r="I59" s="776">
        <f>(('Total Returns'!B12/'Total Returns'!B15)*100000)+(DCF!I44*'Data Sheet'!B6)</f>
        <v>404998.48593712627</v>
      </c>
      <c r="J59" s="1317"/>
      <c r="K59" s="1317"/>
      <c r="R59" s="1244" t="s">
        <v>628</v>
      </c>
      <c r="S59" s="1245"/>
      <c r="T59" s="776">
        <f>(('Total Returns'!B12/'Total Returns'!B15)*100000)+(DCF!T44*'Data Sheet'!B6)</f>
        <v>404211.03610157984</v>
      </c>
      <c r="U59" s="791"/>
      <c r="V59" s="787"/>
    </row>
    <row r="60" spans="1:22" ht="13.5" thickBot="1" x14ac:dyDescent="0.25">
      <c r="A60" s="638">
        <v>7</v>
      </c>
      <c r="B60" s="640">
        <f t="shared" si="17"/>
        <v>406.6359082394136</v>
      </c>
      <c r="C60" s="639">
        <v>0.5</v>
      </c>
      <c r="D60" s="640">
        <f t="shared" si="16"/>
        <v>203.3179541197068</v>
      </c>
      <c r="G60" s="13"/>
      <c r="H60" s="13"/>
      <c r="I60" s="13"/>
      <c r="J60" s="13"/>
      <c r="K60" s="13"/>
      <c r="R60" s="13"/>
      <c r="S60" s="13"/>
      <c r="T60" s="13"/>
      <c r="U60" s="13"/>
    </row>
    <row r="61" spans="1:22" ht="15" customHeight="1" thickBot="1" x14ac:dyDescent="0.25">
      <c r="A61" s="638">
        <v>8</v>
      </c>
      <c r="B61" s="640">
        <f t="shared" si="17"/>
        <v>447.88664831305545</v>
      </c>
      <c r="C61" s="639">
        <v>0.5</v>
      </c>
      <c r="D61" s="640">
        <f t="shared" si="16"/>
        <v>223.94332415652772</v>
      </c>
      <c r="F61" s="1241" t="s">
        <v>637</v>
      </c>
      <c r="G61" s="1242"/>
      <c r="H61" s="1243"/>
      <c r="I61" s="776">
        <f>'Total Returns'!B12</f>
        <v>28416.263391822729</v>
      </c>
      <c r="J61" s="1317"/>
      <c r="K61" s="1316"/>
      <c r="Q61" s="1241" t="s">
        <v>640</v>
      </c>
      <c r="R61" s="1242"/>
      <c r="S61" s="1243"/>
      <c r="T61" s="776">
        <f>'Total Returns'!B12</f>
        <v>28416.263391822729</v>
      </c>
      <c r="U61" s="789"/>
      <c r="V61" s="786"/>
    </row>
    <row r="62" spans="1:22" ht="13.5" thickBot="1" x14ac:dyDescent="0.25">
      <c r="A62" s="638">
        <v>9</v>
      </c>
      <c r="B62" s="640">
        <f t="shared" si="17"/>
        <v>479.00221136984567</v>
      </c>
      <c r="C62" s="639">
        <v>0.5</v>
      </c>
      <c r="D62" s="640">
        <f t="shared" si="16"/>
        <v>239.50110568492283</v>
      </c>
      <c r="G62" s="13"/>
      <c r="H62" s="13"/>
      <c r="I62" s="13"/>
      <c r="J62" s="13"/>
      <c r="K62" s="13"/>
      <c r="R62" s="13"/>
      <c r="S62" s="13"/>
      <c r="T62" s="13"/>
      <c r="U62" s="13"/>
      <c r="V62" s="13"/>
    </row>
    <row r="63" spans="1:22" ht="15" customHeight="1" thickBot="1" x14ac:dyDescent="0.25">
      <c r="A63" s="638">
        <v>10</v>
      </c>
      <c r="B63" s="640">
        <f t="shared" si="17"/>
        <v>496.9647942962149</v>
      </c>
      <c r="C63" s="639">
        <v>0.5</v>
      </c>
      <c r="D63" s="640">
        <f t="shared" si="16"/>
        <v>248.48239714810745</v>
      </c>
      <c r="F63" s="1241" t="s">
        <v>638</v>
      </c>
      <c r="G63" s="1242"/>
      <c r="H63" s="1243"/>
      <c r="I63" s="776">
        <f>I61/(1+'Total Returns'!B13)^10</f>
        <v>9149.2762960788732</v>
      </c>
      <c r="J63" s="1317"/>
      <c r="K63" s="1316"/>
      <c r="Q63" s="1241" t="s">
        <v>638</v>
      </c>
      <c r="R63" s="1242"/>
      <c r="S63" s="1243"/>
      <c r="T63" s="776">
        <f>T61/(1+'Total Returns'!B13)^10</f>
        <v>9149.2762960788732</v>
      </c>
      <c r="U63" s="789"/>
      <c r="V63" s="786"/>
    </row>
    <row r="64" spans="1:22" ht="13.5" thickBot="1" x14ac:dyDescent="0.25">
      <c r="G64" s="13"/>
      <c r="H64" s="1316"/>
      <c r="I64" s="1316"/>
      <c r="J64" s="1318"/>
      <c r="K64" s="1318"/>
      <c r="R64" s="13"/>
      <c r="S64" s="1245"/>
      <c r="T64" s="1245"/>
      <c r="U64" s="790"/>
    </row>
    <row r="65" spans="1:21" ht="13.5" thickBot="1" x14ac:dyDescent="0.25">
      <c r="G65" s="1241" t="s">
        <v>639</v>
      </c>
      <c r="H65" s="1243"/>
      <c r="I65" s="776">
        <f>J44</f>
        <v>128.85976261741752</v>
      </c>
      <c r="J65" s="13"/>
      <c r="K65" s="13"/>
      <c r="R65" s="1241" t="s">
        <v>639</v>
      </c>
      <c r="S65" s="1243"/>
      <c r="T65" s="776">
        <f>U44</f>
        <v>119.44043561135057</v>
      </c>
      <c r="U65" s="13"/>
    </row>
    <row r="66" spans="1:21" ht="13.5" thickBot="1" x14ac:dyDescent="0.25">
      <c r="G66" s="13"/>
      <c r="H66" s="1316"/>
      <c r="I66" s="1316"/>
      <c r="J66" s="1317"/>
      <c r="K66" s="1317"/>
      <c r="R66" s="13"/>
      <c r="S66" s="1316"/>
      <c r="T66" s="1316"/>
      <c r="U66" s="789"/>
    </row>
    <row r="67" spans="1:21" ht="13.5" thickBot="1" x14ac:dyDescent="0.25">
      <c r="A67" s="7"/>
      <c r="B67" s="7"/>
      <c r="C67" s="7"/>
      <c r="D67" s="7"/>
      <c r="G67" s="1244" t="s">
        <v>635</v>
      </c>
      <c r="H67" s="1245"/>
      <c r="I67" s="776">
        <f>I63+I65</f>
        <v>9278.136058696291</v>
      </c>
      <c r="R67" s="1244" t="s">
        <v>635</v>
      </c>
      <c r="S67" s="1246"/>
      <c r="T67" s="776">
        <f>T63+T65</f>
        <v>9268.7167316902232</v>
      </c>
    </row>
    <row r="68" spans="1:21" ht="15.75" thickBot="1" x14ac:dyDescent="0.3">
      <c r="A68" s="747" t="s">
        <v>600</v>
      </c>
      <c r="B68" s="1252">
        <f>'2-minute test'!Q5</f>
        <v>7087.5</v>
      </c>
      <c r="C68" s="1252"/>
      <c r="D68" s="1253"/>
    </row>
    <row r="69" spans="1:21" ht="15.75" thickBot="1" x14ac:dyDescent="0.3">
      <c r="A69" s="602" t="s">
        <v>601</v>
      </c>
      <c r="B69" s="1250" t="str">
        <f>'Balance sheet Flow chart'!B25:R25</f>
        <v>STRONG FINANCIAL HEALTH</v>
      </c>
      <c r="C69" s="1250"/>
      <c r="D69" s="1251"/>
      <c r="F69" s="1241" t="s">
        <v>642</v>
      </c>
      <c r="G69" s="1242"/>
      <c r="H69" s="1243"/>
      <c r="I69" s="776">
        <f>I67/'Data Sheet'!B6</f>
        <v>680.98573230812144</v>
      </c>
      <c r="Q69" s="1241" t="s">
        <v>642</v>
      </c>
      <c r="R69" s="1242"/>
      <c r="S69" s="1243"/>
      <c r="T69" s="776">
        <f>T67/'Data Sheet'!B6</f>
        <v>680.29438360850145</v>
      </c>
    </row>
    <row r="70" spans="1:21" ht="15" x14ac:dyDescent="0.25">
      <c r="A70" s="602" t="s">
        <v>602</v>
      </c>
      <c r="B70" s="1250" t="str">
        <f>'2-minute test'!L14</f>
        <v>CONSISTENT</v>
      </c>
      <c r="C70" s="1250"/>
      <c r="D70" s="1251"/>
    </row>
    <row r="71" spans="1:21" ht="15" x14ac:dyDescent="0.25">
      <c r="A71" s="602" t="s">
        <v>603</v>
      </c>
      <c r="B71" s="1250" t="str">
        <f>Profitability!G59</f>
        <v>NO MOAT</v>
      </c>
      <c r="C71" s="1250"/>
      <c r="D71" s="1251"/>
    </row>
    <row r="72" spans="1:21" x14ac:dyDescent="0.2">
      <c r="A72" s="743" t="s">
        <v>604</v>
      </c>
      <c r="B72" s="1250" t="s">
        <v>606</v>
      </c>
      <c r="C72" s="1250"/>
      <c r="D72" s="1251"/>
    </row>
    <row r="73" spans="1:21" ht="15.75" customHeight="1" thickBot="1" x14ac:dyDescent="0.25">
      <c r="A73" s="744" t="s">
        <v>605</v>
      </c>
      <c r="B73" s="1254" t="s">
        <v>258</v>
      </c>
      <c r="C73" s="1254"/>
      <c r="D73" s="1255"/>
    </row>
    <row r="74" spans="1:21" ht="13.5" thickBot="1" x14ac:dyDescent="0.25">
      <c r="A74" s="676"/>
      <c r="B74" s="13"/>
      <c r="C74" s="13"/>
      <c r="D74" s="675"/>
    </row>
    <row r="75" spans="1:21" ht="15.75" thickBot="1" x14ac:dyDescent="0.3">
      <c r="A75" s="1247" t="s">
        <v>599</v>
      </c>
      <c r="B75" s="1248"/>
      <c r="C75" s="1248"/>
      <c r="D75" s="1249"/>
    </row>
  </sheetData>
  <mergeCells count="67">
    <mergeCell ref="G49:H49"/>
    <mergeCell ref="Q47:S47"/>
    <mergeCell ref="Q48:S48"/>
    <mergeCell ref="R49:S49"/>
    <mergeCell ref="H66:I66"/>
    <mergeCell ref="J66:K66"/>
    <mergeCell ref="S66:T66"/>
    <mergeCell ref="H64:I64"/>
    <mergeCell ref="J64:K64"/>
    <mergeCell ref="S64:T64"/>
    <mergeCell ref="J61:K61"/>
    <mergeCell ref="J63:K63"/>
    <mergeCell ref="J59:K59"/>
    <mergeCell ref="G58:K58"/>
    <mergeCell ref="R58:U58"/>
    <mergeCell ref="G57:H57"/>
    <mergeCell ref="R57:S57"/>
    <mergeCell ref="G59:H59"/>
    <mergeCell ref="R59:S59"/>
    <mergeCell ref="R53:S53"/>
    <mergeCell ref="R55:S55"/>
    <mergeCell ref="R51:U51"/>
    <mergeCell ref="T55:U55"/>
    <mergeCell ref="G53:H53"/>
    <mergeCell ref="J53:K53"/>
    <mergeCell ref="G55:H55"/>
    <mergeCell ref="I55:K55"/>
    <mergeCell ref="G51:K51"/>
    <mergeCell ref="L30:O30"/>
    <mergeCell ref="G46:H46"/>
    <mergeCell ref="R46:S46"/>
    <mergeCell ref="F44:H44"/>
    <mergeCell ref="F31:I31"/>
    <mergeCell ref="L31:O31"/>
    <mergeCell ref="Q31:T31"/>
    <mergeCell ref="Q44:S44"/>
    <mergeCell ref="F48:H48"/>
    <mergeCell ref="F47:H47"/>
    <mergeCell ref="A31:D31"/>
    <mergeCell ref="A26:I27"/>
    <mergeCell ref="D29:F29"/>
    <mergeCell ref="K1:K2"/>
    <mergeCell ref="H13:K20"/>
    <mergeCell ref="F13:G13"/>
    <mergeCell ref="A1:F1"/>
    <mergeCell ref="A2:F2"/>
    <mergeCell ref="H1:J2"/>
    <mergeCell ref="H3:J5"/>
    <mergeCell ref="K3:K5"/>
    <mergeCell ref="E9:G11"/>
    <mergeCell ref="A75:D75"/>
    <mergeCell ref="B72:D72"/>
    <mergeCell ref="B68:D68"/>
    <mergeCell ref="B73:D73"/>
    <mergeCell ref="B71:D71"/>
    <mergeCell ref="B70:D70"/>
    <mergeCell ref="B69:D69"/>
    <mergeCell ref="F69:H69"/>
    <mergeCell ref="Q69:S69"/>
    <mergeCell ref="F61:H61"/>
    <mergeCell ref="Q61:S61"/>
    <mergeCell ref="G67:H67"/>
    <mergeCell ref="R67:S67"/>
    <mergeCell ref="F63:H63"/>
    <mergeCell ref="G65:H65"/>
    <mergeCell ref="Q63:S63"/>
    <mergeCell ref="R65:S65"/>
  </mergeCells>
  <conditionalFormatting sqref="E6">
    <cfRule type="expression" dxfId="113" priority="20">
      <formula>$E$6&lt;100%</formula>
    </cfRule>
    <cfRule type="expression" dxfId="112" priority="21">
      <formula>$E$6&gt;=100%</formula>
    </cfRule>
  </conditionalFormatting>
  <conditionalFormatting sqref="G20">
    <cfRule type="expression" dxfId="111" priority="18">
      <formula>$G$20&lt;$G$19</formula>
    </cfRule>
    <cfRule type="expression" dxfId="110" priority="19">
      <formula>$G$20&gt;=$G$19</formula>
    </cfRule>
  </conditionalFormatting>
  <conditionalFormatting sqref="H13:K20">
    <cfRule type="expression" dxfId="109" priority="16">
      <formula>$G$20&lt;$G$19</formula>
    </cfRule>
    <cfRule type="expression" dxfId="108" priority="17">
      <formula>$G$20&gt;=$G$19</formula>
    </cfRule>
  </conditionalFormatting>
  <conditionalFormatting sqref="E45:E47 D44">
    <cfRule type="expression" dxfId="107" priority="15">
      <formula>D44&gt;4%</formula>
    </cfRule>
  </conditionalFormatting>
  <conditionalFormatting sqref="O44">
    <cfRule type="expression" dxfId="106" priority="13">
      <formula>O44&gt;4%</formula>
    </cfRule>
  </conditionalFormatting>
  <conditionalFormatting sqref="T44">
    <cfRule type="expression" dxfId="105" priority="11">
      <formula>$T$44&lt;0</formula>
    </cfRule>
    <cfRule type="expression" dxfId="104" priority="12">
      <formula>$T$44&gt;0</formula>
    </cfRule>
  </conditionalFormatting>
  <conditionalFormatting sqref="I44">
    <cfRule type="expression" dxfId="103" priority="6">
      <formula>$I$44&lt;0</formula>
    </cfRule>
    <cfRule type="expression" dxfId="102" priority="8">
      <formula>$I$44&gt;0</formula>
    </cfRule>
  </conditionalFormatting>
  <conditionalFormatting sqref="J44">
    <cfRule type="expression" dxfId="101" priority="3">
      <formula>$J$44&lt;0</formula>
    </cfRule>
    <cfRule type="expression" dxfId="100" priority="4">
      <formula>$J$44&gt;0</formula>
    </cfRule>
  </conditionalFormatting>
  <conditionalFormatting sqref="U44">
    <cfRule type="expression" dxfId="99" priority="1">
      <formula>$U$44&lt;0</formula>
    </cfRule>
    <cfRule type="expression" dxfId="98" priority="2" stopIfTrue="1">
      <formula>$U$44&gt;0</formula>
    </cfRule>
  </conditionalFormatting>
  <dataValidations count="3">
    <dataValidation type="list" allowBlank="1" showInputMessage="1" showErrorMessage="1" sqref="B5">
      <formula1>"YES,NO"</formula1>
    </dataValidation>
    <dataValidation type="list" allowBlank="1" showInputMessage="1" showErrorMessage="1" sqref="B72">
      <formula1>"HIGH QUALITY MANAGEMENT,LOW QUALITY MANAGEMENT"</formula1>
    </dataValidation>
    <dataValidation type="list" allowBlank="1" showInputMessage="1" showErrorMessage="1" sqref="B73">
      <formula1>"HIGH,LOW"</formula1>
    </dataValidation>
  </dataValidations>
  <hyperlinks>
    <hyperlink ref="E9:G11" r:id="rId1" display="click here for the explanation "/>
    <hyperlink ref="A7" location="Growth!A13" display="FCF Growth Rate"/>
    <hyperlink ref="A4" location="'Cash Flow'!A12" display="Initial Cash Flow (Rs Cr)"/>
    <hyperlink ref="B32" location="Profitability!A18" display="ROE"/>
    <hyperlink ref="C13" location="DCF!A44" display="Growth"/>
    <hyperlink ref="A44" location="DCF!C13" display="TERMINAL (STABLE)"/>
    <hyperlink ref="C32" location="'Income statement'!A22" display="DPR"/>
    <hyperlink ref="D32" location="Growth!A13" display="GROWTH"/>
    <hyperlink ref="A75:D75" location="DCF!A8" display="ESTIMATING THE RISKINESS IN CASH FLOWS (DISCOUNT RATE)"/>
    <hyperlink ref="A8" location="DCF!A75" display="Discount Rate"/>
    <hyperlink ref="A68" location="'2-minute test'!Q5" display="1. SIZE"/>
    <hyperlink ref="A69" location="'2-minute test'!B17" display="2. FINANCIAL HEALTH "/>
    <hyperlink ref="A70" location="'2-minute test'!B14" display="3. EARNINGS GROWTH"/>
    <hyperlink ref="A71" location="'2-minute test'!B12" display="4. ECONOMIC MOAT"/>
    <hyperlink ref="M32" location="Profitability!A18" display="ROE"/>
    <hyperlink ref="N32" location="'Income statement'!A22" display="DPR"/>
    <hyperlink ref="O32" location="Growth!A13" display="GROWTH"/>
  </hyperlinks>
  <pageMargins left="0.7" right="0.7" top="0.75" bottom="0.75" header="0.3" footer="0.3"/>
  <pageSetup orientation="portrait" r:id="rId2"/>
  <drawing r:id="rId3"/>
  <legacy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5"/>
  <sheetViews>
    <sheetView showGridLines="0" zoomScale="110" zoomScaleNormal="110" workbookViewId="0">
      <selection activeCell="M16" sqref="M16:N21"/>
    </sheetView>
  </sheetViews>
  <sheetFormatPr defaultColWidth="8.7109375" defaultRowHeight="12.75" x14ac:dyDescent="0.2"/>
  <cols>
    <col min="1" max="1" width="4.7109375" style="8" bestFit="1" customWidth="1"/>
    <col min="2" max="2" width="9.42578125" style="8" customWidth="1"/>
    <col min="3" max="3" width="10.85546875" style="8" bestFit="1" customWidth="1"/>
    <col min="4" max="4" width="16.7109375" style="8" customWidth="1"/>
    <col min="5" max="5" width="14" style="8" bestFit="1" customWidth="1"/>
    <col min="6" max="7" width="8.140625" style="8" customWidth="1"/>
    <col min="8" max="8" width="8.7109375" style="8"/>
    <col min="9" max="9" width="4.7109375" style="8" bestFit="1" customWidth="1"/>
    <col min="10" max="10" width="8.42578125" style="8" customWidth="1"/>
    <col min="11" max="11" width="10.85546875" style="8" bestFit="1" customWidth="1"/>
    <col min="12" max="12" width="17.28515625" style="8" customWidth="1"/>
    <col min="13" max="13" width="14" style="8" bestFit="1" customWidth="1"/>
    <col min="14" max="14" width="8.5703125" style="8" customWidth="1"/>
    <col min="15" max="15" width="9.42578125" style="8" customWidth="1"/>
    <col min="16" max="16" width="10" style="8" customWidth="1"/>
    <col min="17" max="17" width="5.85546875" style="8" customWidth="1"/>
    <col min="18" max="16384" width="8.7109375" style="8"/>
  </cols>
  <sheetData>
    <row r="1" spans="1:18" ht="19.5" customHeight="1" thickBot="1" x14ac:dyDescent="0.35">
      <c r="A1" s="1339" t="s">
        <v>168</v>
      </c>
      <c r="B1" s="1340"/>
      <c r="C1" s="1340"/>
      <c r="D1" s="1340"/>
      <c r="E1" s="1340"/>
      <c r="F1" s="1340"/>
      <c r="G1" s="1340"/>
      <c r="H1" s="1340"/>
      <c r="I1" s="1340"/>
      <c r="J1" s="1340"/>
      <c r="K1" s="1340"/>
      <c r="L1" s="1340"/>
      <c r="M1" s="1340"/>
      <c r="N1" s="1341"/>
      <c r="O1" s="398" t="s">
        <v>345</v>
      </c>
      <c r="P1" s="403" t="s">
        <v>346</v>
      </c>
      <c r="Q1" s="397"/>
      <c r="R1" s="1336"/>
    </row>
    <row r="2" spans="1:18" ht="15.75" customHeight="1" x14ac:dyDescent="0.2">
      <c r="B2" s="396"/>
      <c r="C2" s="396"/>
      <c r="D2" s="396"/>
      <c r="E2" s="1337" t="s">
        <v>169</v>
      </c>
      <c r="F2" s="1337"/>
      <c r="G2" s="1337"/>
      <c r="H2" s="1337"/>
      <c r="I2" s="1337"/>
      <c r="J2" s="1337"/>
      <c r="K2" s="1337"/>
      <c r="L2" s="13"/>
      <c r="M2" s="1278" t="s">
        <v>344</v>
      </c>
      <c r="N2" s="1279"/>
      <c r="O2" s="1279"/>
      <c r="P2" s="1239" t="s">
        <v>343</v>
      </c>
      <c r="Q2" s="397"/>
      <c r="R2" s="1336"/>
    </row>
    <row r="3" spans="1:18" ht="12.75" customHeight="1" thickBot="1" x14ac:dyDescent="0.25">
      <c r="L3" s="402"/>
      <c r="M3" s="1282"/>
      <c r="N3" s="1283"/>
      <c r="O3" s="1283"/>
      <c r="P3" s="1240"/>
      <c r="Q3" s="13"/>
    </row>
    <row r="4" spans="1:18" ht="13.5" customHeight="1" x14ac:dyDescent="0.2">
      <c r="A4" s="1345" t="str">
        <f>'Data Sheet'!B1</f>
        <v>AVANTI FEEDS LTD</v>
      </c>
      <c r="B4" s="1346"/>
      <c r="C4" s="1346"/>
      <c r="D4" s="1347"/>
      <c r="I4" s="1002" t="str">
        <f>A4</f>
        <v>AVANTI FEEDS LTD</v>
      </c>
      <c r="J4" s="1002"/>
      <c r="K4" s="1002"/>
      <c r="L4" s="1348"/>
      <c r="M4" s="1278" t="s">
        <v>372</v>
      </c>
      <c r="N4" s="1279"/>
      <c r="O4" s="1279"/>
      <c r="P4" s="1352" t="s">
        <v>373</v>
      </c>
    </row>
    <row r="5" spans="1:18" ht="13.5" thickBot="1" x14ac:dyDescent="0.25">
      <c r="A5" s="1345" t="s">
        <v>610</v>
      </c>
      <c r="B5" s="1346"/>
      <c r="C5" s="1346"/>
      <c r="D5" s="1347"/>
      <c r="E5" s="1343"/>
      <c r="F5" s="1344"/>
      <c r="G5" s="400"/>
      <c r="I5" s="1002" t="s">
        <v>611</v>
      </c>
      <c r="J5" s="1002"/>
      <c r="K5" s="1002"/>
      <c r="L5" s="1345"/>
      <c r="M5" s="1282"/>
      <c r="N5" s="1283"/>
      <c r="O5" s="1283"/>
      <c r="P5" s="1353"/>
    </row>
    <row r="6" spans="1:18" x14ac:dyDescent="0.2">
      <c r="A6" s="124" t="s">
        <v>86</v>
      </c>
      <c r="B6" s="125"/>
      <c r="C6" s="126" t="s">
        <v>87</v>
      </c>
      <c r="D6" s="125" t="s">
        <v>88</v>
      </c>
      <c r="E6" s="1349" t="s">
        <v>89</v>
      </c>
      <c r="F6" s="1349"/>
      <c r="G6" s="404"/>
      <c r="H6" s="114"/>
      <c r="I6" s="124" t="s">
        <v>86</v>
      </c>
      <c r="J6" s="125"/>
      <c r="K6" s="126" t="s">
        <v>87</v>
      </c>
      <c r="L6" s="125" t="s">
        <v>88</v>
      </c>
      <c r="M6" s="1342" t="s">
        <v>89</v>
      </c>
      <c r="N6" s="1342"/>
    </row>
    <row r="7" spans="1:18" x14ac:dyDescent="0.2">
      <c r="A7" s="115">
        <v>0</v>
      </c>
      <c r="B7" s="127" t="s">
        <v>105</v>
      </c>
      <c r="C7" s="358"/>
      <c r="D7" s="117">
        <f>'Data Sheet'!K64+'Data Sheet'!K69</f>
        <v>879.05</v>
      </c>
      <c r="E7" s="118" t="s">
        <v>90</v>
      </c>
      <c r="F7" s="111">
        <v>0.15</v>
      </c>
      <c r="G7" s="405"/>
      <c r="H7" s="114"/>
      <c r="I7" s="115">
        <v>0</v>
      </c>
      <c r="J7" s="127" t="s">
        <v>105</v>
      </c>
      <c r="K7" s="358"/>
      <c r="L7" s="117">
        <f>D7</f>
        <v>879.05</v>
      </c>
      <c r="M7" s="118" t="s">
        <v>90</v>
      </c>
      <c r="N7" s="111">
        <v>0.2</v>
      </c>
    </row>
    <row r="8" spans="1:18" x14ac:dyDescent="0.2">
      <c r="A8" s="115">
        <v>1</v>
      </c>
      <c r="B8" s="116" t="s">
        <v>91</v>
      </c>
      <c r="C8" s="119">
        <f>'Cash Flow'!B13*(1+$F$7)</f>
        <v>172.59583333333333</v>
      </c>
      <c r="D8" s="117">
        <f>C8/((1+$F$10)^A8)</f>
        <v>154.10342261904759</v>
      </c>
      <c r="E8" s="118" t="s">
        <v>92</v>
      </c>
      <c r="F8" s="111">
        <v>0.1</v>
      </c>
      <c r="G8" s="405"/>
      <c r="H8" s="114"/>
      <c r="I8" s="115">
        <v>1</v>
      </c>
      <c r="J8" s="116" t="s">
        <v>91</v>
      </c>
      <c r="K8" s="119">
        <f>'Cash Flow'!B13*(1+$N$7)</f>
        <v>180.1</v>
      </c>
      <c r="L8" s="117">
        <f>K8/((1+$N$10)^I8)</f>
        <v>160.80357142857142</v>
      </c>
      <c r="M8" s="118" t="s">
        <v>92</v>
      </c>
      <c r="N8" s="111">
        <v>0.15</v>
      </c>
    </row>
    <row r="9" spans="1:18" x14ac:dyDescent="0.2">
      <c r="A9" s="115">
        <v>2</v>
      </c>
      <c r="B9" s="116" t="s">
        <v>93</v>
      </c>
      <c r="C9" s="119">
        <f>C8*(1+$F$7)</f>
        <v>198.4852083333333</v>
      </c>
      <c r="D9" s="117">
        <f t="shared" ref="D9:D18" si="0">C9/((1+$F$10)^A9)</f>
        <v>158.23119286777205</v>
      </c>
      <c r="E9" s="118" t="s">
        <v>94</v>
      </c>
      <c r="F9" s="111">
        <v>0.05</v>
      </c>
      <c r="G9" s="405"/>
      <c r="H9" s="114"/>
      <c r="I9" s="115">
        <v>2</v>
      </c>
      <c r="J9" s="116" t="s">
        <v>93</v>
      </c>
      <c r="K9" s="119">
        <f>K8*(1+$N$7)</f>
        <v>216.11999999999998</v>
      </c>
      <c r="L9" s="117">
        <f t="shared" ref="L9:L18" si="1">K9/((1+$N$10)^I9)</f>
        <v>172.28954081632648</v>
      </c>
      <c r="M9" s="118" t="s">
        <v>94</v>
      </c>
      <c r="N9" s="111">
        <v>0.1</v>
      </c>
    </row>
    <row r="10" spans="1:18" x14ac:dyDescent="0.2">
      <c r="A10" s="115">
        <v>3</v>
      </c>
      <c r="B10" s="116" t="s">
        <v>95</v>
      </c>
      <c r="C10" s="119">
        <f>C9*(1+$F$7)</f>
        <v>228.25798958333328</v>
      </c>
      <c r="D10" s="117">
        <f t="shared" si="0"/>
        <v>162.46952839101593</v>
      </c>
      <c r="E10" s="118" t="s">
        <v>97</v>
      </c>
      <c r="F10" s="111">
        <v>0.12</v>
      </c>
      <c r="G10" s="405"/>
      <c r="H10" s="114"/>
      <c r="I10" s="115">
        <v>3</v>
      </c>
      <c r="J10" s="116" t="s">
        <v>95</v>
      </c>
      <c r="K10" s="119">
        <f>K9*(1+$N$7)</f>
        <v>259.34399999999994</v>
      </c>
      <c r="L10" s="117">
        <f t="shared" si="1"/>
        <v>184.59593658892118</v>
      </c>
      <c r="M10" s="118" t="s">
        <v>97</v>
      </c>
      <c r="N10" s="111">
        <v>0.12</v>
      </c>
    </row>
    <row r="11" spans="1:18" ht="12.75" customHeight="1" x14ac:dyDescent="0.2">
      <c r="A11" s="115">
        <v>4</v>
      </c>
      <c r="B11" s="116" t="s">
        <v>96</v>
      </c>
      <c r="C11" s="119">
        <f>C10*(1+$F$8)</f>
        <v>251.08378854166662</v>
      </c>
      <c r="D11" s="117">
        <f t="shared" si="0"/>
        <v>159.56828681260492</v>
      </c>
      <c r="E11" s="114"/>
      <c r="F11" s="114"/>
      <c r="G11" s="406"/>
      <c r="H11" s="114"/>
      <c r="I11" s="115">
        <v>4</v>
      </c>
      <c r="J11" s="116" t="s">
        <v>96</v>
      </c>
      <c r="K11" s="119">
        <f>K10*(1+$N$8)</f>
        <v>298.24559999999991</v>
      </c>
      <c r="L11" s="117">
        <f t="shared" si="1"/>
        <v>189.54047060469586</v>
      </c>
      <c r="M11" s="1350" t="s">
        <v>413</v>
      </c>
      <c r="N11" s="1351"/>
      <c r="O11" s="1351"/>
      <c r="P11" s="1351"/>
      <c r="Q11" s="1351"/>
    </row>
    <row r="12" spans="1:18" ht="12.75" customHeight="1" x14ac:dyDescent="0.2">
      <c r="A12" s="115">
        <v>5</v>
      </c>
      <c r="B12" s="116" t="s">
        <v>98</v>
      </c>
      <c r="C12" s="119">
        <f t="shared" ref="C12:C13" si="2">C11*(1+$F$8)</f>
        <v>276.19216739583328</v>
      </c>
      <c r="D12" s="117">
        <f t="shared" si="0"/>
        <v>156.71885311952269</v>
      </c>
      <c r="E12" s="1338" t="s">
        <v>171</v>
      </c>
      <c r="F12" s="1338"/>
      <c r="G12" s="407"/>
      <c r="H12" s="120"/>
      <c r="I12" s="115">
        <v>5</v>
      </c>
      <c r="J12" s="116" t="s">
        <v>98</v>
      </c>
      <c r="K12" s="119">
        <f t="shared" ref="K12:K13" si="3">K11*(1+$N$8)</f>
        <v>342.98243999999988</v>
      </c>
      <c r="L12" s="117">
        <f t="shared" si="1"/>
        <v>194.61744749589306</v>
      </c>
      <c r="M12" s="1350"/>
      <c r="N12" s="1351"/>
      <c r="O12" s="1351"/>
      <c r="P12" s="1351"/>
      <c r="Q12" s="1351"/>
    </row>
    <row r="13" spans="1:18" ht="12.75" customHeight="1" x14ac:dyDescent="0.2">
      <c r="A13" s="115">
        <v>6</v>
      </c>
      <c r="B13" s="116" t="s">
        <v>99</v>
      </c>
      <c r="C13" s="119">
        <f t="shared" si="2"/>
        <v>303.81138413541663</v>
      </c>
      <c r="D13" s="117">
        <f t="shared" si="0"/>
        <v>153.92030217095979</v>
      </c>
      <c r="E13" s="121" t="s">
        <v>4</v>
      </c>
      <c r="F13" s="122">
        <f>Growth!I11</f>
        <v>0.19220095888007149</v>
      </c>
      <c r="G13" s="401"/>
      <c r="H13" s="114"/>
      <c r="I13" s="115">
        <v>6</v>
      </c>
      <c r="J13" s="116" t="s">
        <v>99</v>
      </c>
      <c r="K13" s="119">
        <f t="shared" si="3"/>
        <v>394.42980599999981</v>
      </c>
      <c r="L13" s="117">
        <f t="shared" si="1"/>
        <v>199.83041483953298</v>
      </c>
      <c r="M13" s="538"/>
      <c r="N13" s="534"/>
      <c r="O13" s="534"/>
      <c r="P13" s="534"/>
    </row>
    <row r="14" spans="1:18" x14ac:dyDescent="0.2">
      <c r="A14" s="115">
        <v>7</v>
      </c>
      <c r="B14" s="116" t="s">
        <v>100</v>
      </c>
      <c r="C14" s="119">
        <f>C13*(1+$F$9)</f>
        <v>319.00195334218745</v>
      </c>
      <c r="D14" s="117">
        <f t="shared" si="0"/>
        <v>144.30028328527479</v>
      </c>
      <c r="E14" s="121" t="s">
        <v>108</v>
      </c>
      <c r="F14" s="122">
        <f>Growth!I12</f>
        <v>0.21939950012175191</v>
      </c>
      <c r="G14" s="401"/>
      <c r="H14" s="114"/>
      <c r="I14" s="115">
        <v>7</v>
      </c>
      <c r="J14" s="116" t="s">
        <v>100</v>
      </c>
      <c r="K14" s="119">
        <f>K13*(1+$N$9)</f>
        <v>433.87278659999981</v>
      </c>
      <c r="L14" s="117">
        <f t="shared" si="1"/>
        <v>196.26201457454133</v>
      </c>
    </row>
    <row r="15" spans="1:18" ht="13.5" thickBot="1" x14ac:dyDescent="0.25">
      <c r="A15" s="115">
        <v>8</v>
      </c>
      <c r="B15" s="116" t="s">
        <v>101</v>
      </c>
      <c r="C15" s="119">
        <f t="shared" ref="C15:C17" si="4">C14*(1+$F$9)</f>
        <v>334.95205100929684</v>
      </c>
      <c r="D15" s="117">
        <f t="shared" si="0"/>
        <v>135.28151557994511</v>
      </c>
      <c r="E15" s="442" t="s">
        <v>106</v>
      </c>
      <c r="F15" s="441">
        <f>('Cash Flow'!K12/'Cash Flow'!F12)^(1/5)-1</f>
        <v>4.6886378096752113E-2</v>
      </c>
      <c r="G15" s="401"/>
      <c r="H15" s="114"/>
      <c r="I15" s="115">
        <v>8</v>
      </c>
      <c r="J15" s="116" t="s">
        <v>101</v>
      </c>
      <c r="K15" s="119">
        <f t="shared" ref="K15:K17" si="5">K14*(1+$N$9)</f>
        <v>477.26006525999981</v>
      </c>
      <c r="L15" s="117">
        <f t="shared" si="1"/>
        <v>192.75733574285309</v>
      </c>
    </row>
    <row r="16" spans="1:18" ht="15" customHeight="1" x14ac:dyDescent="0.2">
      <c r="A16" s="115">
        <v>9</v>
      </c>
      <c r="B16" s="116" t="s">
        <v>102</v>
      </c>
      <c r="C16" s="119">
        <f t="shared" si="4"/>
        <v>351.69965355976171</v>
      </c>
      <c r="D16" s="117">
        <f t="shared" si="0"/>
        <v>126.82642085619855</v>
      </c>
      <c r="E16" s="1332" t="str">
        <f>IF(D21&lt;=0,P2,P4)</f>
        <v>☹</v>
      </c>
      <c r="F16" s="1260"/>
      <c r="G16" s="114"/>
      <c r="H16" s="114"/>
      <c r="I16" s="115">
        <v>9</v>
      </c>
      <c r="J16" s="116" t="s">
        <v>102</v>
      </c>
      <c r="K16" s="119">
        <f t="shared" si="5"/>
        <v>524.9860717859998</v>
      </c>
      <c r="L16" s="117">
        <f t="shared" si="1"/>
        <v>189.3152404617307</v>
      </c>
      <c r="M16" s="1259" t="str">
        <f>IF(L21&lt;=0,P2,P4)</f>
        <v>☹</v>
      </c>
      <c r="N16" s="1260"/>
    </row>
    <row r="17" spans="1:16" ht="12.75" customHeight="1" x14ac:dyDescent="0.2">
      <c r="A17" s="115">
        <v>10</v>
      </c>
      <c r="B17" s="116" t="s">
        <v>103</v>
      </c>
      <c r="C17" s="119">
        <f t="shared" si="4"/>
        <v>369.28463623774979</v>
      </c>
      <c r="D17" s="117">
        <f t="shared" si="0"/>
        <v>118.89976955268612</v>
      </c>
      <c r="E17" s="1333"/>
      <c r="F17" s="1263"/>
      <c r="G17" s="114"/>
      <c r="H17" s="114"/>
      <c r="I17" s="115">
        <v>10</v>
      </c>
      <c r="J17" s="116" t="s">
        <v>103</v>
      </c>
      <c r="K17" s="119">
        <f t="shared" si="5"/>
        <v>577.48467896459988</v>
      </c>
      <c r="L17" s="117">
        <f t="shared" si="1"/>
        <v>185.93461116777124</v>
      </c>
      <c r="M17" s="1262"/>
      <c r="N17" s="1263"/>
    </row>
    <row r="18" spans="1:16" ht="12.75" customHeight="1" x14ac:dyDescent="0.2">
      <c r="A18" s="115">
        <v>10</v>
      </c>
      <c r="B18" s="116"/>
      <c r="C18" s="359">
        <f>C17*10</f>
        <v>3692.8463623774978</v>
      </c>
      <c r="D18" s="117">
        <f t="shared" si="0"/>
        <v>1188.9976955268612</v>
      </c>
      <c r="E18" s="1333"/>
      <c r="F18" s="1263"/>
      <c r="G18" s="114"/>
      <c r="H18" s="114"/>
      <c r="I18" s="115">
        <v>10</v>
      </c>
      <c r="J18" s="116"/>
      <c r="K18" s="360">
        <f>K17*15</f>
        <v>8662.2701844689982</v>
      </c>
      <c r="L18" s="117">
        <f t="shared" si="1"/>
        <v>2789.0191675165688</v>
      </c>
      <c r="M18" s="1262"/>
      <c r="N18" s="1263"/>
    </row>
    <row r="19" spans="1:16" ht="12.75" customHeight="1" x14ac:dyDescent="0.2">
      <c r="A19" s="1320" t="s">
        <v>109</v>
      </c>
      <c r="B19" s="1321"/>
      <c r="C19" s="1322"/>
      <c r="D19" s="112">
        <f>SUM(D7:D18)</f>
        <v>3538.3672707818887</v>
      </c>
      <c r="E19" s="1333"/>
      <c r="F19" s="1263"/>
      <c r="G19" s="440"/>
      <c r="H19" s="440"/>
      <c r="I19" s="1321" t="s">
        <v>109</v>
      </c>
      <c r="J19" s="1321"/>
      <c r="K19" s="1322"/>
      <c r="L19" s="112">
        <f>SUM(L7:L18)</f>
        <v>5534.0157512374062</v>
      </c>
      <c r="M19" s="1262"/>
      <c r="N19" s="1263"/>
      <c r="O19" s="443"/>
      <c r="P19" s="443"/>
    </row>
    <row r="20" spans="1:16" ht="15" customHeight="1" x14ac:dyDescent="0.2">
      <c r="A20" s="1320" t="s">
        <v>104</v>
      </c>
      <c r="B20" s="1321"/>
      <c r="C20" s="1322"/>
      <c r="D20" s="113">
        <f>'Data Sheet'!B9</f>
        <v>7087.5</v>
      </c>
      <c r="E20" s="1333"/>
      <c r="F20" s="1263"/>
      <c r="G20" s="440"/>
      <c r="H20" s="440"/>
      <c r="I20" s="1321" t="s">
        <v>104</v>
      </c>
      <c r="J20" s="1321"/>
      <c r="K20" s="1322"/>
      <c r="L20" s="113">
        <f>D20</f>
        <v>7087.5</v>
      </c>
      <c r="M20" s="1262"/>
      <c r="N20" s="1263"/>
      <c r="O20" s="443"/>
      <c r="P20" s="443"/>
    </row>
    <row r="21" spans="1:16" ht="15" customHeight="1" thickBot="1" x14ac:dyDescent="0.25">
      <c r="A21" s="1320" t="s">
        <v>187</v>
      </c>
      <c r="B21" s="1321"/>
      <c r="C21" s="1322"/>
      <c r="D21" s="444">
        <f>D20/D19-1</f>
        <v>1.0030424932214128</v>
      </c>
      <c r="E21" s="1334"/>
      <c r="F21" s="1266"/>
      <c r="G21" s="440"/>
      <c r="H21" s="440"/>
      <c r="I21" s="1321" t="s">
        <v>187</v>
      </c>
      <c r="J21" s="1321"/>
      <c r="K21" s="1322"/>
      <c r="L21" s="123">
        <f>L20/L19-1</f>
        <v>0.28071554520155351</v>
      </c>
      <c r="M21" s="1265"/>
      <c r="N21" s="1266"/>
      <c r="O21" s="443"/>
      <c r="P21" s="443"/>
    </row>
    <row r="22" spans="1:16" ht="15.75" customHeight="1" thickBot="1" x14ac:dyDescent="0.25">
      <c r="A22" s="1335" t="s">
        <v>189</v>
      </c>
      <c r="B22" s="1335"/>
      <c r="C22" s="1335"/>
      <c r="D22" s="757">
        <f>'Intrinsic Values'!D5</f>
        <v>259.70492476341991</v>
      </c>
      <c r="I22" s="1335" t="s">
        <v>189</v>
      </c>
      <c r="J22" s="1335"/>
      <c r="K22" s="1335"/>
      <c r="L22" s="757">
        <f>'Intrinsic Values'!E5</f>
        <v>406.17918783685343</v>
      </c>
    </row>
    <row r="23" spans="1:16" ht="12.95" customHeight="1" x14ac:dyDescent="0.2">
      <c r="A23" s="1323" t="s">
        <v>766</v>
      </c>
      <c r="B23" s="1324"/>
      <c r="C23" s="1324"/>
      <c r="D23" s="1324"/>
      <c r="E23" s="1324"/>
      <c r="F23" s="1324"/>
      <c r="G23" s="1324"/>
      <c r="H23" s="1324"/>
      <c r="I23" s="1324"/>
      <c r="J23" s="1324"/>
      <c r="K23" s="1324"/>
      <c r="L23" s="1325"/>
    </row>
    <row r="24" spans="1:16" x14ac:dyDescent="0.2">
      <c r="A24" s="1326"/>
      <c r="B24" s="1327"/>
      <c r="C24" s="1327"/>
      <c r="D24" s="1327"/>
      <c r="E24" s="1327"/>
      <c r="F24" s="1327"/>
      <c r="G24" s="1327"/>
      <c r="H24" s="1327"/>
      <c r="I24" s="1327"/>
      <c r="J24" s="1327"/>
      <c r="K24" s="1327"/>
      <c r="L24" s="1328"/>
    </row>
    <row r="25" spans="1:16" ht="13.5" thickBot="1" x14ac:dyDescent="0.25">
      <c r="A25" s="1329"/>
      <c r="B25" s="1330"/>
      <c r="C25" s="1330"/>
      <c r="D25" s="1330"/>
      <c r="E25" s="1330"/>
      <c r="F25" s="1330"/>
      <c r="G25" s="1330"/>
      <c r="H25" s="1330"/>
      <c r="I25" s="1330"/>
      <c r="J25" s="1330"/>
      <c r="K25" s="1330"/>
      <c r="L25" s="1331"/>
    </row>
  </sheetData>
  <mergeCells count="27">
    <mergeCell ref="R1:R2"/>
    <mergeCell ref="E2:K2"/>
    <mergeCell ref="P2:P3"/>
    <mergeCell ref="M2:O3"/>
    <mergeCell ref="E12:F12"/>
    <mergeCell ref="A1:N1"/>
    <mergeCell ref="M6:N6"/>
    <mergeCell ref="E5:F5"/>
    <mergeCell ref="A4:D4"/>
    <mergeCell ref="I4:L4"/>
    <mergeCell ref="A5:D5"/>
    <mergeCell ref="I5:L5"/>
    <mergeCell ref="E6:F6"/>
    <mergeCell ref="M11:Q12"/>
    <mergeCell ref="M4:O5"/>
    <mergeCell ref="P4:P5"/>
    <mergeCell ref="M16:N21"/>
    <mergeCell ref="A19:C19"/>
    <mergeCell ref="A20:C20"/>
    <mergeCell ref="A23:L25"/>
    <mergeCell ref="A21:C21"/>
    <mergeCell ref="I19:K19"/>
    <mergeCell ref="I20:K20"/>
    <mergeCell ref="I21:K21"/>
    <mergeCell ref="E16:F21"/>
    <mergeCell ref="A22:C22"/>
    <mergeCell ref="I22:K22"/>
  </mergeCells>
  <conditionalFormatting sqref="D19">
    <cfRule type="expression" dxfId="97" priority="16">
      <formula>$D$19&lt;$D$20</formula>
    </cfRule>
    <cfRule type="expression" dxfId="96" priority="17">
      <formula>$D$19&gt;=$D$20</formula>
    </cfRule>
  </conditionalFormatting>
  <conditionalFormatting sqref="L19">
    <cfRule type="expression" dxfId="95" priority="14">
      <formula>$L$19&lt;$L$20</formula>
    </cfRule>
    <cfRule type="expression" dxfId="94" priority="15">
      <formula>$L$19&gt;=$L$20</formula>
    </cfRule>
  </conditionalFormatting>
  <conditionalFormatting sqref="E16:F21">
    <cfRule type="expression" dxfId="93" priority="12">
      <formula>$D$21&gt;0</formula>
    </cfRule>
    <cfRule type="expression" dxfId="92" priority="13">
      <formula>$D$21&lt;=0</formula>
    </cfRule>
  </conditionalFormatting>
  <conditionalFormatting sqref="M16:N21">
    <cfRule type="expression" dxfId="91" priority="10">
      <formula>$L$21&gt;0</formula>
    </cfRule>
    <cfRule type="expression" dxfId="90" priority="11">
      <formula>$L$21&lt;=0</formula>
    </cfRule>
  </conditionalFormatting>
  <conditionalFormatting sqref="D21">
    <cfRule type="expression" dxfId="89" priority="8">
      <formula>$D$21&gt;0</formula>
    </cfRule>
    <cfRule type="expression" dxfId="88" priority="9">
      <formula>$D$21&lt;=0</formula>
    </cfRule>
  </conditionalFormatting>
  <conditionalFormatting sqref="L21">
    <cfRule type="expression" dxfId="87" priority="6">
      <formula>$L$21&gt;0</formula>
    </cfRule>
    <cfRule type="expression" dxfId="86" priority="7">
      <formula>$L$21&lt;=0</formula>
    </cfRule>
  </conditionalFormatting>
  <hyperlinks>
    <hyperlink ref="E2:K2" r:id="rId1" display="Read the book - The Dhandho Investor by Mohnish Pabrai"/>
    <hyperlink ref="M11:Q12" r:id="rId2" display="click here for the explanation "/>
  </hyperlinks>
  <pageMargins left="0.7" right="0.7" top="0.75" bottom="0.75" header="0.3" footer="0.3"/>
  <pageSetup orientation="portrait" r:id="rId3"/>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3" id="{0E011B9D-E78D-4051-9966-D971FC399866}">
            <xm:f>$D$22&lt;'Intrinsic Values'!$E$9</xm:f>
            <x14:dxf>
              <fill>
                <patternFill>
                  <bgColor theme="6" tint="0.59996337778862885"/>
                </patternFill>
              </fill>
            </x14:dxf>
          </x14:cfRule>
          <x14:cfRule type="expression" priority="5" id="{2EC75A32-79CF-4285-825E-4037CA404495}">
            <xm:f>$D$22&gt;'Intrinsic Values'!$E$9</xm:f>
            <x14:dxf>
              <fill>
                <patternFill>
                  <bgColor rgb="FFCCFF99"/>
                </patternFill>
              </fill>
            </x14:dxf>
          </x14:cfRule>
          <xm:sqref>D22</xm:sqref>
        </x14:conditionalFormatting>
        <x14:conditionalFormatting xmlns:xm="http://schemas.microsoft.com/office/excel/2006/main">
          <x14:cfRule type="expression" priority="1" id="{B14ABAB9-8F47-4AB4-84CD-1075196CE2D4}">
            <xm:f>$L$22&gt;'Intrinsic Values'!$E$9</xm:f>
            <x14:dxf>
              <fill>
                <patternFill>
                  <bgColor rgb="FFCCFF99"/>
                </patternFill>
              </fill>
            </x14:dxf>
          </x14:cfRule>
          <x14:cfRule type="expression" priority="2" id="{678C0814-2010-4FD6-8FC5-22EAAFF9173B}">
            <xm:f>$L$22&lt;'Intrinsic Values'!$E$9</xm:f>
            <x14:dxf>
              <fill>
                <patternFill>
                  <bgColor theme="6" tint="0.59996337778862885"/>
                </patternFill>
              </fill>
            </x14:dxf>
          </x14:cfRule>
          <xm:sqref>L22</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6"/>
  <sheetViews>
    <sheetView showGridLines="0" zoomScale="110" zoomScaleNormal="110" workbookViewId="0">
      <selection sqref="A1:M1"/>
    </sheetView>
  </sheetViews>
  <sheetFormatPr defaultColWidth="9.140625" defaultRowHeight="12.75" x14ac:dyDescent="0.2"/>
  <cols>
    <col min="1" max="1" width="45.5703125" style="27" bestFit="1" customWidth="1"/>
    <col min="2" max="2" width="9.5703125" style="27" customWidth="1"/>
    <col min="3" max="3" width="7.140625" style="27" bestFit="1" customWidth="1"/>
    <col min="4" max="4" width="7.42578125" style="27" bestFit="1" customWidth="1"/>
    <col min="5" max="6" width="7.140625" style="27" bestFit="1" customWidth="1"/>
    <col min="7" max="7" width="7.5703125" style="27" customWidth="1"/>
    <col min="8" max="11" width="7.140625" style="27" bestFit="1" customWidth="1"/>
    <col min="12" max="13" width="11.5703125" style="27" bestFit="1" customWidth="1"/>
    <col min="14" max="16384" width="9.140625" style="27"/>
  </cols>
  <sheetData>
    <row r="1" spans="1:16" ht="19.5" x14ac:dyDescent="0.2">
      <c r="A1" s="1354" t="s">
        <v>641</v>
      </c>
      <c r="B1" s="1355"/>
      <c r="C1" s="1355"/>
      <c r="D1" s="1355"/>
      <c r="E1" s="1355"/>
      <c r="F1" s="1355"/>
      <c r="G1" s="1355"/>
      <c r="H1" s="1355"/>
      <c r="I1" s="1355"/>
      <c r="J1" s="1355"/>
      <c r="K1" s="1355"/>
      <c r="L1" s="1355"/>
      <c r="M1" s="1356"/>
    </row>
    <row r="2" spans="1:16" x14ac:dyDescent="0.2">
      <c r="A2" s="1345" t="str">
        <f>'Data Sheet'!B1</f>
        <v>AVANTI FEEDS LTD</v>
      </c>
      <c r="B2" s="1346"/>
      <c r="C2" s="1346"/>
      <c r="D2" s="1346"/>
      <c r="E2" s="1346"/>
      <c r="F2" s="1346"/>
      <c r="G2" s="1346"/>
      <c r="H2" s="1346"/>
      <c r="I2" s="1346"/>
      <c r="J2" s="1346"/>
      <c r="K2" s="1346"/>
      <c r="L2" s="1346"/>
      <c r="M2" s="1347"/>
    </row>
    <row r="3" spans="1:16" x14ac:dyDescent="0.2">
      <c r="A3" s="530" t="s">
        <v>121</v>
      </c>
      <c r="B3" s="531">
        <f>'Data Sheet'!B16</f>
        <v>40633</v>
      </c>
      <c r="C3" s="531">
        <f>'Data Sheet'!C16</f>
        <v>40999</v>
      </c>
      <c r="D3" s="531">
        <f>'Data Sheet'!D16</f>
        <v>41364</v>
      </c>
      <c r="E3" s="531">
        <f>'Data Sheet'!E16</f>
        <v>41729</v>
      </c>
      <c r="F3" s="531">
        <f>'Data Sheet'!F16</f>
        <v>42094</v>
      </c>
      <c r="G3" s="531">
        <f>'Data Sheet'!G16</f>
        <v>42460</v>
      </c>
      <c r="H3" s="531">
        <f>'Data Sheet'!H16</f>
        <v>42825</v>
      </c>
      <c r="I3" s="531">
        <f>'Data Sheet'!I16</f>
        <v>43190</v>
      </c>
      <c r="J3" s="531">
        <f>'Data Sheet'!J16</f>
        <v>43555</v>
      </c>
      <c r="K3" s="531">
        <f>'Data Sheet'!K16</f>
        <v>43921</v>
      </c>
      <c r="L3" s="532" t="s">
        <v>125</v>
      </c>
      <c r="M3" s="533" t="s">
        <v>122</v>
      </c>
    </row>
    <row r="4" spans="1:16" x14ac:dyDescent="0.2">
      <c r="A4" s="149" t="s">
        <v>128</v>
      </c>
      <c r="B4" s="150">
        <f>'Data Sheet'!B30</f>
        <v>3.4</v>
      </c>
      <c r="C4" s="150">
        <f>'Data Sheet'!C30</f>
        <v>28.05</v>
      </c>
      <c r="D4" s="150">
        <f>'Data Sheet'!D30</f>
        <v>30.05</v>
      </c>
      <c r="E4" s="150">
        <f>'Data Sheet'!E30</f>
        <v>70.41</v>
      </c>
      <c r="F4" s="150">
        <f>'Data Sheet'!F30</f>
        <v>115.92</v>
      </c>
      <c r="G4" s="150">
        <f>'Data Sheet'!G30</f>
        <v>157.5</v>
      </c>
      <c r="H4" s="150">
        <f>'Data Sheet'!H30</f>
        <v>215.66</v>
      </c>
      <c r="I4" s="150">
        <f>'Data Sheet'!I30</f>
        <v>446.47</v>
      </c>
      <c r="J4" s="150">
        <f>'Data Sheet'!J30</f>
        <v>273.63</v>
      </c>
      <c r="K4" s="150">
        <f>'Data Sheet'!K30</f>
        <v>346.49</v>
      </c>
      <c r="L4" s="151">
        <f>(K4/B4)^(1/9)-1</f>
        <v>0.67160877819603737</v>
      </c>
      <c r="M4" s="152">
        <f>(K4/F4)^(1/5)-1</f>
        <v>0.24481973968759618</v>
      </c>
    </row>
    <row r="5" spans="1:16" x14ac:dyDescent="0.2">
      <c r="A5" s="153" t="s">
        <v>79</v>
      </c>
      <c r="B5" s="154">
        <f>B4/'Data Sheet'!B17</f>
        <v>1.6686297605025522E-2</v>
      </c>
      <c r="C5" s="154">
        <f>C4/'Data Sheet'!C17</f>
        <v>7.3268206039076383E-2</v>
      </c>
      <c r="D5" s="154">
        <f>D4/'Data Sheet'!D17</f>
        <v>4.7977903022368401E-2</v>
      </c>
      <c r="E5" s="154">
        <f>E4/'Data Sheet'!E17</f>
        <v>6.4403120912491882E-2</v>
      </c>
      <c r="F5" s="154">
        <f>F4/'Data Sheet'!F17</f>
        <v>6.7843033974190142E-2</v>
      </c>
      <c r="G5" s="154">
        <f>G4/'Data Sheet'!G17</f>
        <v>8.1381890333381557E-2</v>
      </c>
      <c r="H5" s="154">
        <f>H4/'Data Sheet'!H17</f>
        <v>8.244703219738965E-2</v>
      </c>
      <c r="I5" s="154">
        <f>I4/'Data Sheet'!I17</f>
        <v>0.13158949571163311</v>
      </c>
      <c r="J5" s="154">
        <f>J4/'Data Sheet'!J17</f>
        <v>7.8453916244717259E-2</v>
      </c>
      <c r="K5" s="154">
        <f>K4/'Data Sheet'!K17</f>
        <v>8.4195767491476906E-2</v>
      </c>
      <c r="L5" s="155"/>
      <c r="M5" s="156"/>
    </row>
    <row r="6" spans="1:16" ht="13.5" thickBot="1" x14ac:dyDescent="0.25">
      <c r="A6" s="157" t="s">
        <v>47</v>
      </c>
      <c r="B6" s="158">
        <f>Profitability!B18</f>
        <v>4.8906789413118518E-2</v>
      </c>
      <c r="C6" s="158">
        <f>Profitability!C18</f>
        <v>0.29964747356051707</v>
      </c>
      <c r="D6" s="158">
        <f>Profitability!D18</f>
        <v>0.24020783373301363</v>
      </c>
      <c r="E6" s="446">
        <f>Profitability!E18</f>
        <v>0.39210335802194124</v>
      </c>
      <c r="F6" s="446">
        <f>Profitability!F18</f>
        <v>0.43695578423611903</v>
      </c>
      <c r="G6" s="446">
        <f>Profitability!G18</f>
        <v>0.37252536720357626</v>
      </c>
      <c r="H6" s="446">
        <f>Profitability!H18</f>
        <v>0.33939756381605857</v>
      </c>
      <c r="I6" s="446">
        <f>Profitability!I18</f>
        <v>0.43284406871679526</v>
      </c>
      <c r="J6" s="446">
        <f>Profitability!J18</f>
        <v>0.22689807290457398</v>
      </c>
      <c r="K6" s="158">
        <f>Profitability!K18</f>
        <v>0.24684401003077625</v>
      </c>
      <c r="L6" s="159"/>
      <c r="M6" s="160"/>
    </row>
    <row r="7" spans="1:16" ht="15.75" customHeight="1" thickBot="1" x14ac:dyDescent="0.25">
      <c r="A7" s="161" t="s">
        <v>132</v>
      </c>
      <c r="B7" s="24"/>
      <c r="C7" s="24"/>
      <c r="D7" s="1357" t="s">
        <v>341</v>
      </c>
      <c r="E7" s="1223" t="s">
        <v>344</v>
      </c>
      <c r="F7" s="1224"/>
      <c r="G7" s="1224"/>
      <c r="H7" s="1224"/>
      <c r="I7" s="1224"/>
      <c r="J7" s="1239" t="s">
        <v>343</v>
      </c>
    </row>
    <row r="8" spans="1:16" ht="15.75" customHeight="1" thickBot="1" x14ac:dyDescent="0.25">
      <c r="A8" s="162" t="s">
        <v>126</v>
      </c>
      <c r="B8" s="802">
        <f>IF(DCF!B5="NO",DCF!B7,B63)</f>
        <v>0.14791651243546977</v>
      </c>
      <c r="C8" s="25"/>
      <c r="D8" s="1358"/>
      <c r="E8" s="1225"/>
      <c r="F8" s="1226"/>
      <c r="G8" s="1226"/>
      <c r="H8" s="1226"/>
      <c r="I8" s="1226"/>
      <c r="J8" s="1240"/>
      <c r="K8" s="1359"/>
      <c r="L8" s="1360"/>
      <c r="M8" s="1360"/>
      <c r="N8" s="1360"/>
      <c r="O8" s="1360"/>
      <c r="P8" s="539"/>
    </row>
    <row r="9" spans="1:16" ht="12.75" customHeight="1" x14ac:dyDescent="0.2">
      <c r="A9" s="94" t="s">
        <v>127</v>
      </c>
      <c r="B9" s="163">
        <f>'Income statement'!L16*(1+B8)^10</f>
        <v>1420.8131695911366</v>
      </c>
      <c r="C9" s="8"/>
      <c r="D9" s="1373" t="s">
        <v>342</v>
      </c>
      <c r="E9" s="1280" t="s">
        <v>372</v>
      </c>
      <c r="F9" s="1281"/>
      <c r="G9" s="1281"/>
      <c r="H9" s="1281"/>
      <c r="I9" s="1281"/>
      <c r="J9" s="1372" t="s">
        <v>373</v>
      </c>
      <c r="K9" s="1359"/>
      <c r="L9" s="1360"/>
      <c r="M9" s="1360"/>
      <c r="N9" s="1360"/>
      <c r="O9" s="1360"/>
      <c r="P9" s="539"/>
    </row>
    <row r="10" spans="1:16" ht="12.75" customHeight="1" thickBot="1" x14ac:dyDescent="0.25">
      <c r="A10" s="94" t="s">
        <v>123</v>
      </c>
      <c r="B10" s="164">
        <f>summary!B22</f>
        <v>19.817968291250736</v>
      </c>
      <c r="C10" s="26"/>
      <c r="D10" s="1374"/>
      <c r="E10" s="1282"/>
      <c r="F10" s="1283"/>
      <c r="G10" s="1283"/>
      <c r="H10" s="1283"/>
      <c r="I10" s="1283"/>
      <c r="J10" s="1353"/>
      <c r="K10" s="8"/>
    </row>
    <row r="11" spans="1:16" ht="12.75" customHeight="1" thickBot="1" x14ac:dyDescent="0.25">
      <c r="A11" s="635" t="s">
        <v>124</v>
      </c>
      <c r="B11" s="782">
        <v>20</v>
      </c>
      <c r="C11" s="8"/>
      <c r="D11" s="445"/>
      <c r="E11" s="445"/>
      <c r="F11" s="445"/>
      <c r="G11" s="445"/>
      <c r="H11" s="445"/>
      <c r="I11" s="445"/>
      <c r="J11" s="445"/>
      <c r="K11" s="8"/>
    </row>
    <row r="12" spans="1:16" ht="15" customHeight="1" x14ac:dyDescent="0.2">
      <c r="A12" s="94" t="s">
        <v>129</v>
      </c>
      <c r="B12" s="163">
        <f>B9*B11</f>
        <v>28416.263391822729</v>
      </c>
      <c r="C12" s="8"/>
      <c r="D12" s="1375" t="str">
        <f>IF(B14&gt;=B15,J7,J9)</f>
        <v>☺</v>
      </c>
      <c r="E12" s="1376"/>
      <c r="F12" s="1376"/>
      <c r="G12" s="1376"/>
      <c r="H12" s="1376"/>
      <c r="I12" s="1376"/>
      <c r="J12" s="1377"/>
      <c r="K12" s="8"/>
      <c r="L12" s="1361" t="str">
        <f>IF(E23&lt;0,A75,A76)</f>
        <v xml:space="preserve">          ATTENTION PLEASE!                     Make Sure That Capital Gains Are Atleast 15%</v>
      </c>
      <c r="M12" s="1362"/>
      <c r="N12" s="1363"/>
    </row>
    <row r="13" spans="1:16" ht="12.75" customHeight="1" x14ac:dyDescent="0.2">
      <c r="A13" s="94" t="s">
        <v>147</v>
      </c>
      <c r="B13" s="165">
        <f>DCF!B8</f>
        <v>0.12</v>
      </c>
      <c r="C13" s="8"/>
      <c r="D13" s="1378"/>
      <c r="E13" s="1379"/>
      <c r="F13" s="1379"/>
      <c r="G13" s="1379"/>
      <c r="H13" s="1379"/>
      <c r="I13" s="1379"/>
      <c r="J13" s="1380"/>
      <c r="K13" s="8"/>
      <c r="L13" s="1364"/>
      <c r="M13" s="1365"/>
      <c r="N13" s="1366"/>
    </row>
    <row r="14" spans="1:16" ht="12.75" customHeight="1" x14ac:dyDescent="0.2">
      <c r="A14" s="94" t="s">
        <v>131</v>
      </c>
      <c r="B14" s="166">
        <f>IF(DCF!B5="NO",DCF!T67,DCF!I67)</f>
        <v>9278.136058696291</v>
      </c>
      <c r="C14" s="8"/>
      <c r="D14" s="1378"/>
      <c r="E14" s="1379"/>
      <c r="F14" s="1379"/>
      <c r="G14" s="1379"/>
      <c r="H14" s="1379"/>
      <c r="I14" s="1379"/>
      <c r="J14" s="1380"/>
      <c r="K14" s="8"/>
      <c r="L14" s="1364"/>
      <c r="M14" s="1365"/>
      <c r="N14" s="1366"/>
    </row>
    <row r="15" spans="1:16" ht="12.75" customHeight="1" x14ac:dyDescent="0.2">
      <c r="A15" s="94" t="s">
        <v>130</v>
      </c>
      <c r="B15" s="166">
        <f>'Data Sheet'!B9</f>
        <v>7087.5</v>
      </c>
      <c r="C15" s="8"/>
      <c r="D15" s="1378"/>
      <c r="E15" s="1379"/>
      <c r="F15" s="1379"/>
      <c r="G15" s="1379"/>
      <c r="H15" s="1379"/>
      <c r="I15" s="1379"/>
      <c r="J15" s="1380"/>
      <c r="K15" s="8"/>
      <c r="L15" s="1364"/>
      <c r="M15" s="1365"/>
      <c r="N15" s="1366"/>
    </row>
    <row r="16" spans="1:16" ht="10.5" customHeight="1" thickBot="1" x14ac:dyDescent="0.25">
      <c r="C16" s="8"/>
      <c r="D16" s="1378"/>
      <c r="E16" s="1379"/>
      <c r="F16" s="1379"/>
      <c r="G16" s="1379"/>
      <c r="H16" s="1379"/>
      <c r="I16" s="1379"/>
      <c r="J16" s="1380"/>
      <c r="K16" s="8"/>
      <c r="L16" s="1364"/>
      <c r="M16" s="1365"/>
      <c r="N16" s="1366"/>
    </row>
    <row r="17" spans="1:14" ht="14.25" customHeight="1" thickBot="1" x14ac:dyDescent="0.25">
      <c r="A17" s="416" t="s">
        <v>414</v>
      </c>
      <c r="B17" s="776">
        <f>IF(DCF!B5="NO",DCF!T59,DCF!I59)</f>
        <v>404998.48593712627</v>
      </c>
      <c r="C17" s="8"/>
      <c r="D17" s="1378"/>
      <c r="E17" s="1379"/>
      <c r="F17" s="1379"/>
      <c r="G17" s="1379"/>
      <c r="H17" s="1379"/>
      <c r="I17" s="1379"/>
      <c r="J17" s="1380"/>
      <c r="K17" s="8"/>
      <c r="L17" s="1367"/>
      <c r="M17" s="1368"/>
      <c r="N17" s="1369"/>
    </row>
    <row r="18" spans="1:14" ht="13.5" customHeight="1" thickBot="1" x14ac:dyDescent="0.25">
      <c r="A18" s="758" t="s">
        <v>652</v>
      </c>
      <c r="B18" s="777">
        <f>IF(DCF!B5="NO",DCF!T55,DCF!I55)</f>
        <v>0.16337636573548631</v>
      </c>
      <c r="D18" s="1378"/>
      <c r="E18" s="1379"/>
      <c r="F18" s="1379"/>
      <c r="G18" s="1379"/>
      <c r="H18" s="1379"/>
      <c r="I18" s="1379"/>
      <c r="J18" s="1380"/>
    </row>
    <row r="19" spans="1:14" ht="13.5" customHeight="1" thickBot="1" x14ac:dyDescent="0.25">
      <c r="A19" s="758" t="s">
        <v>612</v>
      </c>
      <c r="B19" s="777">
        <f>((B12/B15)^(1/10)-1)-B8</f>
        <v>1.0500496445071672E-3</v>
      </c>
      <c r="D19" s="1378"/>
      <c r="E19" s="1379"/>
      <c r="F19" s="1379"/>
      <c r="G19" s="1379"/>
      <c r="H19" s="1379"/>
      <c r="I19" s="1379"/>
      <c r="J19" s="1380"/>
      <c r="L19" s="1405" t="s">
        <v>767</v>
      </c>
      <c r="M19" s="1406"/>
      <c r="N19" s="1407"/>
    </row>
    <row r="20" spans="1:14" ht="13.5" customHeight="1" thickBot="1" x14ac:dyDescent="0.25">
      <c r="A20" s="801" t="s">
        <v>631</v>
      </c>
      <c r="B20" s="777">
        <f>(B12/B15)^(1/10)-1</f>
        <v>0.14896656207997694</v>
      </c>
      <c r="D20" s="1381"/>
      <c r="E20" s="1382"/>
      <c r="F20" s="1382"/>
      <c r="G20" s="1382"/>
      <c r="H20" s="1382"/>
      <c r="I20" s="1382"/>
      <c r="J20" s="1383"/>
      <c r="L20" s="1408"/>
      <c r="M20" s="1409"/>
      <c r="N20" s="1410"/>
    </row>
    <row r="21" spans="1:14" ht="13.5" thickBot="1" x14ac:dyDescent="0.25">
      <c r="A21" s="758" t="s">
        <v>634</v>
      </c>
      <c r="B21" s="777">
        <f>E23</f>
        <v>1.5459853300016535E-2</v>
      </c>
      <c r="D21" s="1384" t="s">
        <v>613</v>
      </c>
      <c r="E21" s="1385"/>
      <c r="F21" s="1388" t="s">
        <v>614</v>
      </c>
      <c r="G21" s="1390" t="s">
        <v>615</v>
      </c>
      <c r="H21" s="1391"/>
      <c r="I21" s="1388" t="s">
        <v>616</v>
      </c>
      <c r="J21" s="1394" t="s">
        <v>518</v>
      </c>
      <c r="L21" s="1396">
        <f>'Intrinsic Values'!B19/'Intrinsic Values'!E9</f>
        <v>1.9636266790891621</v>
      </c>
      <c r="M21" s="1397"/>
      <c r="N21" s="1398"/>
    </row>
    <row r="22" spans="1:14" ht="13.5" thickBot="1" x14ac:dyDescent="0.25">
      <c r="A22" s="758" t="s">
        <v>625</v>
      </c>
      <c r="B22" s="777">
        <f>B18+B19</f>
        <v>0.16442641537999347</v>
      </c>
      <c r="D22" s="1386"/>
      <c r="E22" s="1387"/>
      <c r="F22" s="1389"/>
      <c r="G22" s="1392"/>
      <c r="H22" s="1393"/>
      <c r="I22" s="1389"/>
      <c r="J22" s="1395"/>
      <c r="K22" s="759"/>
      <c r="L22" s="1399"/>
      <c r="M22" s="1400"/>
      <c r="N22" s="1401"/>
    </row>
    <row r="23" spans="1:14" ht="13.5" thickBot="1" x14ac:dyDescent="0.25">
      <c r="A23" s="748" t="s">
        <v>607</v>
      </c>
      <c r="B23" s="795">
        <f>'Relative valuation'!B28/('Total Returns'!B8*100)</f>
        <v>1.339807704017937</v>
      </c>
      <c r="D23" s="784">
        <f>IF(DCF!B5="NO",DCF!T53,DCF!I53)</f>
        <v>0.14791651243546977</v>
      </c>
      <c r="E23" s="785">
        <f>IF(DCF!B5="NO",DCF!U53,DCF!J53)</f>
        <v>1.5459853300016535E-2</v>
      </c>
      <c r="F23" s="783" t="s">
        <v>614</v>
      </c>
      <c r="G23" s="1370">
        <f>B19</f>
        <v>1.0500496445071672E-3</v>
      </c>
      <c r="H23" s="1371"/>
      <c r="I23" s="783" t="s">
        <v>616</v>
      </c>
      <c r="J23" s="785">
        <f>B20+E23</f>
        <v>0.16442641537999347</v>
      </c>
      <c r="L23" s="1402"/>
      <c r="M23" s="1403"/>
      <c r="N23" s="1404"/>
    </row>
    <row r="24" spans="1:14" x14ac:dyDescent="0.2">
      <c r="D24" s="788"/>
    </row>
    <row r="63" spans="2:2" x14ac:dyDescent="0.2">
      <c r="B63" s="760">
        <f>(DCF!B23/DCF!B4)^(1/10)-1</f>
        <v>0.14791651243546977</v>
      </c>
    </row>
    <row r="75" spans="1:1" x14ac:dyDescent="0.2">
      <c r="A75" s="27" t="s">
        <v>633</v>
      </c>
    </row>
    <row r="76" spans="1:1" x14ac:dyDescent="0.2">
      <c r="A76" s="27" t="s">
        <v>632</v>
      </c>
    </row>
  </sheetData>
  <mergeCells count="19">
    <mergeCell ref="L12:N17"/>
    <mergeCell ref="G23:H23"/>
    <mergeCell ref="J9:J10"/>
    <mergeCell ref="E9:I10"/>
    <mergeCell ref="D9:D10"/>
    <mergeCell ref="D12:J20"/>
    <mergeCell ref="D21:E22"/>
    <mergeCell ref="F21:F22"/>
    <mergeCell ref="G21:H22"/>
    <mergeCell ref="J21:J22"/>
    <mergeCell ref="I21:I22"/>
    <mergeCell ref="L21:N23"/>
    <mergeCell ref="L19:N20"/>
    <mergeCell ref="A1:M1"/>
    <mergeCell ref="A2:M2"/>
    <mergeCell ref="J7:J8"/>
    <mergeCell ref="E7:I8"/>
    <mergeCell ref="D7:D8"/>
    <mergeCell ref="K8:O9"/>
  </mergeCells>
  <conditionalFormatting sqref="B14">
    <cfRule type="expression" dxfId="81" priority="37">
      <formula>$B$14&lt;$B$15</formula>
    </cfRule>
    <cfRule type="expression" dxfId="80" priority="38">
      <formula>$B$14&gt;=$B$15</formula>
    </cfRule>
  </conditionalFormatting>
  <conditionalFormatting sqref="B17">
    <cfRule type="expression" dxfId="79" priority="35">
      <formula>$B$17&lt;400000</formula>
    </cfRule>
    <cfRule type="expression" dxfId="78" priority="36">
      <formula>$B$17&gt;=400000</formula>
    </cfRule>
  </conditionalFormatting>
  <conditionalFormatting sqref="B20">
    <cfRule type="expression" dxfId="77" priority="33">
      <formula>$B$20&lt;15%</formula>
    </cfRule>
    <cfRule type="expression" dxfId="76" priority="34">
      <formula>$B$20&gt;=15%</formula>
    </cfRule>
  </conditionalFormatting>
  <conditionalFormatting sqref="B23">
    <cfRule type="expression" dxfId="75" priority="29">
      <formula>$B$23&gt;2</formula>
    </cfRule>
    <cfRule type="expression" dxfId="74" priority="30">
      <formula>$B$23&lt;1</formula>
    </cfRule>
  </conditionalFormatting>
  <conditionalFormatting sqref="B18">
    <cfRule type="expression" dxfId="73" priority="20">
      <formula>$B$18&gt;0</formula>
    </cfRule>
    <cfRule type="expression" dxfId="72" priority="28">
      <formula>$B$18&lt;0</formula>
    </cfRule>
  </conditionalFormatting>
  <conditionalFormatting sqref="D23">
    <cfRule type="expression" dxfId="71" priority="18">
      <formula>$D$23&lt;0</formula>
    </cfRule>
    <cfRule type="expression" dxfId="70" priority="19">
      <formula>$D$23&gt;0</formula>
    </cfRule>
  </conditionalFormatting>
  <conditionalFormatting sqref="E23">
    <cfRule type="expression" dxfId="69" priority="16">
      <formula>$E$23&lt;0</formula>
    </cfRule>
    <cfRule type="expression" dxfId="68" priority="17">
      <formula>$E$23&gt;0</formula>
    </cfRule>
  </conditionalFormatting>
  <conditionalFormatting sqref="G23:H23">
    <cfRule type="expression" dxfId="67" priority="14">
      <formula>$G$23&lt;0</formula>
    </cfRule>
    <cfRule type="expression" dxfId="66" priority="15">
      <formula>$G$23&gt;0</formula>
    </cfRule>
  </conditionalFormatting>
  <conditionalFormatting sqref="J23">
    <cfRule type="expression" dxfId="65" priority="12">
      <formula>$J$23&lt;0</formula>
    </cfRule>
    <cfRule type="expression" dxfId="64" priority="13">
      <formula>$J$23&gt;0</formula>
    </cfRule>
  </conditionalFormatting>
  <conditionalFormatting sqref="B22">
    <cfRule type="expression" dxfId="63" priority="10">
      <formula>$B$22&gt;0</formula>
    </cfRule>
    <cfRule type="expression" dxfId="62" priority="11">
      <formula>$B$22&lt;0</formula>
    </cfRule>
  </conditionalFormatting>
  <conditionalFormatting sqref="B19 G21:H22">
    <cfRule type="expression" dxfId="61" priority="7">
      <formula>$B$19&lt;0</formula>
    </cfRule>
    <cfRule type="expression" dxfId="60" priority="8">
      <formula>$B$19&gt;0</formula>
    </cfRule>
  </conditionalFormatting>
  <conditionalFormatting sqref="L12:N17">
    <cfRule type="expression" dxfId="59" priority="5">
      <formula>$E$23&lt;0</formula>
    </cfRule>
    <cfRule type="expression" dxfId="58" priority="6">
      <formula>$E$23&gt;=0</formula>
    </cfRule>
  </conditionalFormatting>
  <conditionalFormatting sqref="D12:J20">
    <cfRule type="expression" dxfId="57" priority="91">
      <formula>$B$14&lt;$B$15</formula>
    </cfRule>
    <cfRule type="expression" dxfId="56" priority="92">
      <formula>$B$14&gt;=$B$15</formula>
    </cfRule>
  </conditionalFormatting>
  <conditionalFormatting sqref="D21:E22">
    <cfRule type="expression" dxfId="55" priority="101">
      <formula>$B$18&lt;0</formula>
    </cfRule>
    <cfRule type="expression" dxfId="54" priority="102">
      <formula>$B$18&gt;0</formula>
    </cfRule>
  </conditionalFormatting>
  <conditionalFormatting sqref="J21:J22">
    <cfRule type="expression" dxfId="53" priority="103">
      <formula>$B$20&lt;0</formula>
    </cfRule>
    <cfRule type="expression" dxfId="52" priority="104">
      <formula>$B$20&gt;0</formula>
    </cfRule>
  </conditionalFormatting>
  <conditionalFormatting sqref="B21">
    <cfRule type="expression" dxfId="51" priority="3">
      <formula>$B$21&lt;0</formula>
    </cfRule>
    <cfRule type="expression" dxfId="50" priority="4">
      <formula>$B$21&gt;=0</formula>
    </cfRule>
  </conditionalFormatting>
  <conditionalFormatting sqref="L21:N23">
    <cfRule type="expression" dxfId="49" priority="1">
      <formula>$L$21&gt;100%</formula>
    </cfRule>
    <cfRule type="expression" dxfId="48" priority="2">
      <formula>$L$21&lt;=100%</formula>
    </cfRule>
  </conditionalFormatting>
  <hyperlinks>
    <hyperlink ref="A11" location="'Relative valuation'!A22" display="Exit P/E in the 10th year from now (x, Estimated)"/>
  </hyperlinks>
  <pageMargins left="0.7" right="0.7" top="0.75" bottom="0.75" header="0.3" footer="0.3"/>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5"/>
  <sheetViews>
    <sheetView showGridLines="0" zoomScale="120" zoomScaleNormal="120" workbookViewId="0">
      <selection activeCell="A16" sqref="A16:B16"/>
    </sheetView>
  </sheetViews>
  <sheetFormatPr defaultColWidth="8.7109375" defaultRowHeight="12.75" x14ac:dyDescent="0.2"/>
  <cols>
    <col min="1" max="1" width="19.42578125" style="45" bestFit="1" customWidth="1"/>
    <col min="2" max="2" width="9.7109375" style="45" bestFit="1" customWidth="1"/>
    <col min="3" max="3" width="10.85546875" style="45" bestFit="1" customWidth="1"/>
    <col min="4" max="4" width="12" style="45" customWidth="1"/>
    <col min="5" max="5" width="10.7109375" style="45" bestFit="1" customWidth="1"/>
    <col min="6" max="6" width="20" style="45" customWidth="1"/>
    <col min="7" max="7" width="10.28515625" style="45" customWidth="1"/>
    <col min="8" max="8" width="10.85546875" style="45" customWidth="1"/>
    <col min="9" max="9" width="10.42578125" style="45" customWidth="1"/>
    <col min="10" max="10" width="8.7109375" style="45"/>
    <col min="11" max="11" width="8.28515625" style="45" bestFit="1" customWidth="1"/>
    <col min="12" max="12" width="8.28515625" style="45" customWidth="1"/>
    <col min="13" max="16384" width="8.7109375" style="45"/>
  </cols>
  <sheetData>
    <row r="1" spans="1:54" ht="15.75" customHeight="1" thickBot="1" x14ac:dyDescent="0.3">
      <c r="A1" s="1414" t="s">
        <v>166</v>
      </c>
      <c r="B1" s="1415"/>
      <c r="C1" s="1415"/>
      <c r="D1" s="1415"/>
      <c r="E1" s="1416"/>
      <c r="F1" s="430" t="s">
        <v>362</v>
      </c>
      <c r="G1" s="687"/>
      <c r="H1" s="1411" t="s">
        <v>520</v>
      </c>
      <c r="I1" s="1412"/>
      <c r="J1" s="1412"/>
      <c r="K1" s="1412"/>
      <c r="L1" s="1412"/>
      <c r="M1" s="1413"/>
    </row>
    <row r="2" spans="1:54" ht="15" customHeight="1" thickBot="1" x14ac:dyDescent="0.25">
      <c r="A2" s="1417" t="str">
        <f>'Data Sheet'!B1</f>
        <v>AVANTI FEEDS LTD</v>
      </c>
      <c r="B2" s="1040"/>
      <c r="C2" s="1040"/>
      <c r="D2" s="1040"/>
      <c r="E2" s="1418"/>
      <c r="F2" s="431" t="s">
        <v>363</v>
      </c>
      <c r="G2" s="689"/>
      <c r="I2" s="693"/>
      <c r="J2" s="693"/>
      <c r="K2" s="693"/>
      <c r="L2" s="694"/>
      <c r="M2" s="694"/>
    </row>
    <row r="3" spans="1:54" ht="13.5" thickBot="1" x14ac:dyDescent="0.25">
      <c r="A3" s="432"/>
      <c r="B3" s="1425" t="s">
        <v>149</v>
      </c>
      <c r="C3" s="1426"/>
      <c r="D3" s="1419" t="s">
        <v>189</v>
      </c>
      <c r="E3" s="1421"/>
      <c r="F3" s="688"/>
      <c r="G3" s="689"/>
      <c r="H3" s="1300" t="s">
        <v>522</v>
      </c>
      <c r="I3" s="1301"/>
      <c r="J3" s="701">
        <v>30000</v>
      </c>
    </row>
    <row r="4" spans="1:54" ht="13.5" thickBot="1" x14ac:dyDescent="0.25">
      <c r="A4" s="433"/>
      <c r="B4" s="263" t="s">
        <v>145</v>
      </c>
      <c r="C4" s="264" t="s">
        <v>146</v>
      </c>
      <c r="D4" s="259" t="s">
        <v>145</v>
      </c>
      <c r="E4" s="259" t="s">
        <v>146</v>
      </c>
      <c r="F4" s="13"/>
      <c r="G4" s="675"/>
      <c r="O4" s="8"/>
      <c r="P4" s="8"/>
      <c r="Q4" s="8"/>
      <c r="R4" s="8"/>
      <c r="S4" s="8"/>
      <c r="T4" s="8"/>
      <c r="U4" s="8"/>
      <c r="V4" s="8"/>
      <c r="W4" s="8"/>
      <c r="X4" s="8"/>
      <c r="Y4" s="8"/>
      <c r="Z4" s="8"/>
      <c r="AA4" s="8"/>
      <c r="AB4" s="8"/>
      <c r="AC4" s="8"/>
      <c r="AD4" s="8"/>
      <c r="AE4" s="8"/>
      <c r="AF4" s="8"/>
      <c r="AG4" s="8"/>
      <c r="AH4" s="8"/>
      <c r="AI4" s="8"/>
      <c r="AJ4" s="8"/>
      <c r="AK4" s="8"/>
      <c r="AL4" s="8"/>
      <c r="AM4" s="8"/>
      <c r="AN4" s="8"/>
      <c r="AO4" s="8"/>
      <c r="AP4" s="8"/>
      <c r="AQ4" s="8"/>
    </row>
    <row r="5" spans="1:54" ht="15.75" thickBot="1" x14ac:dyDescent="0.3">
      <c r="A5" s="171" t="s">
        <v>110</v>
      </c>
      <c r="B5" s="436">
        <f>'Dhandho '!D19</f>
        <v>3538.3672707818887</v>
      </c>
      <c r="C5" s="436">
        <f>'Dhandho '!L19</f>
        <v>5534.0157512374062</v>
      </c>
      <c r="D5" s="437">
        <f>B5/summary!B9</f>
        <v>259.70492476341991</v>
      </c>
      <c r="E5" s="437">
        <f>C5/summary!B9</f>
        <v>406.17918783685343</v>
      </c>
      <c r="F5" s="13"/>
      <c r="G5" s="675"/>
      <c r="H5" s="695"/>
      <c r="I5" s="695"/>
      <c r="J5" s="695"/>
      <c r="N5" s="8"/>
      <c r="O5" s="8"/>
      <c r="P5" s="8"/>
      <c r="Q5" s="8"/>
      <c r="R5" s="8"/>
      <c r="S5" s="8"/>
      <c r="T5" s="8"/>
      <c r="U5" s="8"/>
      <c r="V5" s="8"/>
      <c r="W5" s="8"/>
      <c r="X5" s="8"/>
      <c r="Y5" s="8"/>
      <c r="Z5" s="8"/>
      <c r="AA5" s="8"/>
      <c r="AB5" s="8"/>
      <c r="AC5" s="8"/>
      <c r="AD5" s="8"/>
      <c r="AE5" s="8"/>
      <c r="AF5" s="8"/>
      <c r="AG5" s="8"/>
      <c r="AH5" s="8"/>
      <c r="AI5" s="8"/>
      <c r="AJ5" s="8"/>
      <c r="AK5" s="8"/>
      <c r="AL5" s="167">
        <f>J3/3</f>
        <v>10000</v>
      </c>
      <c r="AM5" s="8"/>
      <c r="AN5" s="8"/>
      <c r="AO5" s="8"/>
      <c r="AP5" s="8"/>
      <c r="AQ5" s="8"/>
    </row>
    <row r="6" spans="1:54" ht="15.75" thickBot="1" x14ac:dyDescent="0.3">
      <c r="A6" s="170" t="s">
        <v>137</v>
      </c>
      <c r="B6" s="436">
        <f>DCF!G17</f>
        <v>4390.3231738595859</v>
      </c>
      <c r="C6" s="172"/>
      <c r="D6" s="437">
        <f>B6/summary!B9</f>
        <v>322.23578342740836</v>
      </c>
      <c r="E6" s="752"/>
      <c r="F6" s="13"/>
      <c r="G6" s="675"/>
      <c r="H6" s="695"/>
      <c r="I6" s="695"/>
      <c r="J6" s="697" t="s">
        <v>523</v>
      </c>
      <c r="K6" s="698" t="s">
        <v>524</v>
      </c>
      <c r="L6" s="698" t="s">
        <v>525</v>
      </c>
      <c r="N6" s="8"/>
      <c r="O6" s="8"/>
      <c r="P6" s="8"/>
      <c r="Q6" s="8"/>
      <c r="R6" s="8"/>
      <c r="S6" s="8"/>
      <c r="T6" s="8"/>
      <c r="U6" s="8"/>
      <c r="V6" s="8"/>
      <c r="W6" s="8"/>
      <c r="X6" s="8"/>
      <c r="Y6" s="8"/>
      <c r="Z6" s="8"/>
      <c r="AA6" s="8"/>
      <c r="AB6" s="8"/>
      <c r="AC6" s="8"/>
      <c r="AD6" s="8"/>
      <c r="AE6" s="8"/>
      <c r="AF6" s="8"/>
      <c r="AG6" s="8"/>
      <c r="AH6" s="8"/>
      <c r="AI6" s="8"/>
      <c r="AJ6" s="8"/>
      <c r="AK6" s="8"/>
      <c r="AL6" s="328"/>
      <c r="AM6" s="8"/>
      <c r="AN6" s="8"/>
      <c r="AO6" s="8"/>
      <c r="AP6" s="8"/>
      <c r="AQ6" s="8"/>
    </row>
    <row r="7" spans="1:54" ht="15.75" thickBot="1" x14ac:dyDescent="0.3">
      <c r="A7" s="171" t="s">
        <v>518</v>
      </c>
      <c r="B7" s="436">
        <f>'Total Returns'!B14</f>
        <v>9278.136058696291</v>
      </c>
      <c r="C7" s="750"/>
      <c r="D7" s="437">
        <f>B7/summary!B9</f>
        <v>680.98573230812144</v>
      </c>
      <c r="E7" s="753"/>
      <c r="F7" s="13"/>
      <c r="G7" s="675"/>
      <c r="H7" s="695"/>
      <c r="I7" s="695"/>
      <c r="J7" s="699">
        <f>J3/3</f>
        <v>10000</v>
      </c>
      <c r="K7" s="700">
        <f>J3/3</f>
        <v>10000</v>
      </c>
      <c r="L7" s="699">
        <f>J3/3</f>
        <v>10000</v>
      </c>
      <c r="M7" s="695"/>
      <c r="N7" s="8"/>
      <c r="O7" s="8"/>
      <c r="P7" s="8"/>
      <c r="Q7" s="8"/>
      <c r="R7" s="8"/>
      <c r="S7" s="8"/>
      <c r="T7" s="8"/>
      <c r="U7" s="8"/>
      <c r="V7" s="8"/>
      <c r="W7" s="8"/>
      <c r="X7" s="8"/>
      <c r="Y7" s="8"/>
      <c r="Z7" s="8"/>
      <c r="AA7" s="8"/>
      <c r="AB7" s="8"/>
      <c r="AC7" s="8"/>
      <c r="AD7" s="8"/>
      <c r="AE7" s="8"/>
      <c r="AF7" s="8"/>
      <c r="AG7" s="8"/>
      <c r="AH7" s="8"/>
      <c r="AI7" s="8"/>
      <c r="AJ7" s="8"/>
      <c r="AK7" s="8"/>
      <c r="AL7" s="677">
        <f>(AK15-AK14)/AK14</f>
        <v>1.7695762299334059</v>
      </c>
      <c r="AM7" s="8"/>
      <c r="AN7" s="8"/>
      <c r="AO7" s="8"/>
      <c r="AP7" s="8"/>
      <c r="AQ7" s="8"/>
    </row>
    <row r="8" spans="1:54" ht="15.75" thickBot="1" x14ac:dyDescent="0.3">
      <c r="A8" s="171" t="s">
        <v>608</v>
      </c>
      <c r="B8" s="751">
        <f>D8*'Data Sheet'!B6</f>
        <v>5289.9382342297049</v>
      </c>
      <c r="C8" s="750"/>
      <c r="D8" s="437">
        <f>'Income statement'!L18*('Total Returns'!B8*100)</f>
        <v>388.26467293774851</v>
      </c>
      <c r="E8" s="753"/>
      <c r="F8" s="13"/>
      <c r="G8" s="675"/>
      <c r="H8" s="695"/>
      <c r="I8" s="695"/>
      <c r="J8" s="749"/>
      <c r="K8" s="749"/>
      <c r="L8" s="749"/>
      <c r="M8" s="695"/>
      <c r="N8" s="8"/>
      <c r="O8" s="8"/>
      <c r="P8" s="8"/>
      <c r="Q8" s="8"/>
      <c r="R8" s="8"/>
      <c r="S8" s="8"/>
      <c r="T8" s="8"/>
      <c r="U8" s="8"/>
      <c r="V8" s="8"/>
      <c r="W8" s="8"/>
      <c r="X8" s="8"/>
      <c r="Y8" s="8"/>
      <c r="Z8" s="8"/>
      <c r="AA8" s="8"/>
      <c r="AB8" s="8"/>
      <c r="AC8" s="8"/>
      <c r="AD8" s="8"/>
      <c r="AE8" s="8"/>
      <c r="AF8" s="8"/>
      <c r="AG8" s="8"/>
      <c r="AH8" s="8"/>
      <c r="AI8" s="8"/>
      <c r="AJ8" s="8"/>
      <c r="AK8" s="8"/>
      <c r="AL8" s="677"/>
      <c r="AM8" s="8"/>
      <c r="AN8" s="8"/>
      <c r="AO8" s="8"/>
      <c r="AP8" s="8"/>
      <c r="AQ8" s="8"/>
    </row>
    <row r="9" spans="1:54" ht="15.75" customHeight="1" thickBot="1" x14ac:dyDescent="0.25">
      <c r="A9" s="260" t="s">
        <v>175</v>
      </c>
      <c r="B9" s="1422">
        <f>summary!B10</f>
        <v>7087.5</v>
      </c>
      <c r="C9" s="1423"/>
      <c r="D9" s="265" t="s">
        <v>179</v>
      </c>
      <c r="E9" s="754">
        <f>B9/summary!B9</f>
        <v>520.20000000000005</v>
      </c>
      <c r="F9" s="260" t="s">
        <v>650</v>
      </c>
      <c r="G9" s="806">
        <f>(D5*0.2)+(E5*0.2)+(D6*0.2)+(D7*0.2)+(D8*0.2)</f>
        <v>411.47406025471037</v>
      </c>
      <c r="H9" s="693"/>
      <c r="I9" s="693"/>
      <c r="J9" s="693"/>
      <c r="K9" s="693"/>
      <c r="L9" s="694"/>
      <c r="M9" s="694"/>
    </row>
    <row r="10" spans="1:54" s="169" customFormat="1" ht="13.5" thickBot="1" x14ac:dyDescent="0.25">
      <c r="A10" s="678"/>
      <c r="B10" s="167"/>
      <c r="C10" s="167"/>
      <c r="D10" s="168"/>
      <c r="E10" s="168"/>
      <c r="F10" s="690"/>
      <c r="G10" s="691"/>
      <c r="H10" s="693"/>
      <c r="I10" s="693"/>
      <c r="J10" s="693"/>
      <c r="K10" s="693"/>
      <c r="L10" s="696"/>
      <c r="M10" s="696"/>
    </row>
    <row r="11" spans="1:54" ht="12.75" customHeight="1" thickBot="1" x14ac:dyDescent="0.25">
      <c r="A11" s="1300" t="s">
        <v>510</v>
      </c>
      <c r="B11" s="1302"/>
      <c r="C11" s="706" t="s">
        <v>609</v>
      </c>
      <c r="D11" s="672"/>
      <c r="E11" s="1300" t="s">
        <v>521</v>
      </c>
      <c r="F11" s="1301"/>
      <c r="G11" s="1302"/>
      <c r="H11" s="328"/>
      <c r="I11" s="328"/>
      <c r="J11" s="328"/>
      <c r="K11" s="328"/>
    </row>
    <row r="12" spans="1:54" ht="12.6" customHeight="1" thickBot="1" x14ac:dyDescent="0.25">
      <c r="A12" s="705" t="s">
        <v>507</v>
      </c>
      <c r="B12" s="809">
        <f>G9*0.9</f>
        <v>370.32665422923935</v>
      </c>
      <c r="C12" s="808">
        <f>B12/'Income statement'!$L$18</f>
        <v>14.108269686505267</v>
      </c>
      <c r="D12" s="673"/>
      <c r="E12" s="1244" t="s">
        <v>513</v>
      </c>
      <c r="F12" s="1245"/>
      <c r="G12" s="1246"/>
      <c r="H12" s="805">
        <f>AL5/B12</f>
        <v>27.003187282894864</v>
      </c>
      <c r="I12" s="8"/>
      <c r="J12" s="8"/>
      <c r="K12" s="707"/>
      <c r="L12" s="674"/>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row>
    <row r="13" spans="1:54" ht="15" customHeight="1" thickBot="1" x14ac:dyDescent="0.25">
      <c r="A13" s="706" t="s">
        <v>508</v>
      </c>
      <c r="B13" s="809">
        <f>G9*0.8</f>
        <v>329.17924820376834</v>
      </c>
      <c r="C13" s="807">
        <f>B13/'Income statement'!$L$18</f>
        <v>12.54068416578246</v>
      </c>
      <c r="D13" s="672"/>
      <c r="E13" s="1244" t="s">
        <v>514</v>
      </c>
      <c r="F13" s="1245"/>
      <c r="G13" s="1246"/>
      <c r="H13" s="684">
        <f>AL5/B13</f>
        <v>30.378585693256721</v>
      </c>
      <c r="I13" s="8"/>
      <c r="J13" s="8"/>
      <c r="K13" s="676"/>
      <c r="L13" s="675"/>
      <c r="M13" s="8"/>
      <c r="N13" s="672"/>
      <c r="O13" s="672"/>
      <c r="W13" s="8"/>
      <c r="X13" s="8"/>
      <c r="Y13" s="8"/>
      <c r="Z13" s="8"/>
      <c r="AA13" s="8"/>
      <c r="AB13" s="8"/>
      <c r="AC13" s="8"/>
      <c r="AD13" s="8"/>
      <c r="AE13" s="8"/>
      <c r="AF13" s="672"/>
      <c r="AG13" s="8"/>
      <c r="AH13" s="8"/>
      <c r="AI13" s="328"/>
      <c r="AJ13" s="328"/>
      <c r="AK13" s="328"/>
      <c r="AL13" s="328"/>
      <c r="AM13" s="8"/>
      <c r="AN13" s="8"/>
      <c r="AO13" s="8"/>
      <c r="AP13" s="8"/>
      <c r="AQ13" s="8"/>
      <c r="AR13" s="8"/>
      <c r="AS13" s="8"/>
      <c r="AT13" s="8"/>
      <c r="AU13" s="8"/>
      <c r="AV13" s="8"/>
      <c r="AW13" s="8"/>
      <c r="AX13" s="8"/>
      <c r="AY13" s="8"/>
      <c r="AZ13" s="8"/>
      <c r="BA13" s="8"/>
      <c r="BB13" s="8"/>
    </row>
    <row r="14" spans="1:54" ht="15" customHeight="1" thickBot="1" x14ac:dyDescent="0.25">
      <c r="A14" s="706" t="s">
        <v>509</v>
      </c>
      <c r="B14" s="809">
        <f>G9*0.75</f>
        <v>308.60554519103277</v>
      </c>
      <c r="C14" s="807">
        <f>B14/'Income statement'!$L$18</f>
        <v>11.756891405421054</v>
      </c>
      <c r="D14" s="672"/>
      <c r="E14" s="1244" t="s">
        <v>515</v>
      </c>
      <c r="F14" s="1245"/>
      <c r="G14" s="1246"/>
      <c r="H14" s="684">
        <f>AL5/B14</f>
        <v>32.403824739473841</v>
      </c>
      <c r="I14" s="8"/>
      <c r="J14" s="8"/>
      <c r="K14" s="676"/>
      <c r="L14" s="675"/>
      <c r="M14" s="8"/>
      <c r="N14" s="8"/>
      <c r="O14" s="8"/>
      <c r="W14" s="8"/>
      <c r="X14" s="8"/>
      <c r="Y14" s="8"/>
      <c r="Z14" s="8"/>
      <c r="AA14" s="8"/>
      <c r="AB14" s="8"/>
      <c r="AC14" s="8"/>
      <c r="AD14" s="8"/>
      <c r="AE14" s="8"/>
      <c r="AF14" s="8"/>
      <c r="AG14" s="8"/>
      <c r="AH14" s="8"/>
      <c r="AI14" s="8"/>
      <c r="AJ14" s="8"/>
      <c r="AK14" s="679">
        <f>AVERAGE(B12:B14)</f>
        <v>336.03714920801349</v>
      </c>
      <c r="AL14" s="328"/>
      <c r="AM14" s="8"/>
      <c r="AN14" s="8"/>
      <c r="AO14" s="8"/>
      <c r="AP14" s="8"/>
      <c r="AQ14" s="8"/>
      <c r="AR14" s="8"/>
      <c r="AS14" s="8"/>
      <c r="AT14" s="8"/>
      <c r="AU14" s="8"/>
      <c r="AV14" s="8"/>
      <c r="AW14" s="8"/>
      <c r="AX14" s="8"/>
      <c r="AY14" s="8"/>
      <c r="AZ14" s="8"/>
      <c r="BA14" s="8"/>
      <c r="BB14" s="8"/>
    </row>
    <row r="15" spans="1:54" ht="15" customHeight="1" thickBot="1" x14ac:dyDescent="0.25">
      <c r="A15" s="680"/>
      <c r="B15" s="672"/>
      <c r="C15" s="672"/>
      <c r="D15" s="672"/>
      <c r="E15" s="1419" t="s">
        <v>516</v>
      </c>
      <c r="F15" s="1420"/>
      <c r="G15" s="1421"/>
      <c r="H15" s="685">
        <f>SUM(H12:H14)</f>
        <v>89.785597715625414</v>
      </c>
      <c r="I15" s="8"/>
      <c r="J15" s="8"/>
      <c r="K15" s="676"/>
      <c r="L15" s="675"/>
      <c r="M15" s="8"/>
      <c r="N15" s="8"/>
      <c r="O15" s="8"/>
      <c r="W15" s="8"/>
      <c r="X15" s="8"/>
      <c r="Y15" s="8"/>
      <c r="Z15" s="8"/>
      <c r="AA15" s="8"/>
      <c r="AB15" s="8"/>
      <c r="AC15" s="8"/>
      <c r="AD15" s="8"/>
      <c r="AE15" s="8"/>
      <c r="AF15" s="8"/>
      <c r="AG15" s="8"/>
      <c r="AH15" s="692">
        <f>((H15/3)*B17)</f>
        <v>25476.129587957319</v>
      </c>
      <c r="AI15" s="8"/>
      <c r="AJ15" s="8"/>
      <c r="AK15" s="681">
        <f>AVERAGE(B17:B19)</f>
        <v>930.68050082109937</v>
      </c>
      <c r="AL15" s="328"/>
      <c r="AM15" s="8"/>
      <c r="AN15" s="8"/>
      <c r="AO15" s="8"/>
      <c r="AP15" s="8"/>
      <c r="AQ15" s="8"/>
      <c r="AR15" s="8"/>
      <c r="AS15" s="8"/>
      <c r="AT15" s="8"/>
      <c r="AU15" s="8"/>
      <c r="AV15" s="8"/>
      <c r="AW15" s="8"/>
      <c r="AX15" s="8"/>
      <c r="AY15" s="8"/>
      <c r="AZ15" s="8"/>
      <c r="BA15" s="8"/>
      <c r="BB15" s="8"/>
    </row>
    <row r="16" spans="1:54" ht="15" customHeight="1" thickBot="1" x14ac:dyDescent="0.25">
      <c r="A16" s="1300" t="s">
        <v>511</v>
      </c>
      <c r="B16" s="1302"/>
      <c r="C16" s="706" t="s">
        <v>609</v>
      </c>
      <c r="D16" s="672"/>
      <c r="E16" s="676"/>
      <c r="F16" s="13"/>
      <c r="G16" s="675"/>
      <c r="H16" s="8"/>
      <c r="I16" s="8"/>
      <c r="J16" s="8"/>
      <c r="K16" s="676"/>
      <c r="L16" s="689"/>
      <c r="N16" s="8"/>
      <c r="O16" s="8"/>
      <c r="W16" s="8"/>
      <c r="X16" s="8"/>
      <c r="Y16" s="8"/>
      <c r="Z16" s="8"/>
      <c r="AA16" s="8"/>
      <c r="AB16" s="8"/>
      <c r="AC16" s="8"/>
      <c r="AD16" s="8"/>
      <c r="AE16" s="8"/>
      <c r="AF16" s="8"/>
      <c r="AG16" s="8"/>
      <c r="AH16" s="8">
        <f>((H15/3)*B18)</f>
        <v>27514.219954993907</v>
      </c>
      <c r="AI16" s="8"/>
      <c r="AJ16" s="8"/>
      <c r="AK16" s="328"/>
      <c r="AL16" s="328"/>
      <c r="AM16" s="8"/>
      <c r="AN16" s="8"/>
      <c r="AO16" s="8"/>
      <c r="AP16" s="8"/>
      <c r="AQ16" s="8"/>
      <c r="AR16" s="8"/>
      <c r="AS16" s="8"/>
      <c r="AT16" s="8"/>
      <c r="AU16" s="8"/>
      <c r="AV16" s="8"/>
      <c r="AW16" s="8"/>
      <c r="AX16" s="8"/>
      <c r="AY16" s="8"/>
      <c r="AZ16" s="8"/>
      <c r="BA16" s="8"/>
      <c r="BB16" s="8"/>
    </row>
    <row r="17" spans="1:54" ht="15" customHeight="1" thickBot="1" x14ac:dyDescent="0.25">
      <c r="A17" s="705" t="s">
        <v>507</v>
      </c>
      <c r="B17" s="809">
        <f>(IF(D7&gt;E5,D7,E5))*1.25</f>
        <v>851.2321653851518</v>
      </c>
      <c r="C17" s="810">
        <f>B17/'Income statement'!$L$18</f>
        <v>32.429242718369167</v>
      </c>
      <c r="D17" s="672"/>
      <c r="E17" s="1244" t="s">
        <v>517</v>
      </c>
      <c r="F17" s="1245"/>
      <c r="G17" s="1246"/>
      <c r="H17" s="686">
        <f>((H15/3)*B17)-J7</f>
        <v>15476.129587957319</v>
      </c>
      <c r="I17" s="8"/>
      <c r="J17" s="8"/>
      <c r="K17" s="676"/>
      <c r="L17" s="689"/>
      <c r="M17" s="8"/>
      <c r="N17" s="8"/>
      <c r="O17" s="672"/>
      <c r="W17" s="8"/>
      <c r="X17" s="8"/>
      <c r="Y17" s="8"/>
      <c r="Z17" s="8"/>
      <c r="AA17" s="8"/>
      <c r="AB17" s="8"/>
      <c r="AC17" s="8"/>
      <c r="AD17" s="8"/>
      <c r="AE17" s="8"/>
      <c r="AF17" s="8"/>
      <c r="AG17" s="8"/>
      <c r="AH17" s="692">
        <f>((H15/3)*B19)</f>
        <v>30571.355505548785</v>
      </c>
      <c r="AI17" s="8"/>
      <c r="AJ17" s="8"/>
      <c r="AK17" s="328"/>
      <c r="AL17" s="328"/>
      <c r="AM17" s="8"/>
      <c r="AN17" s="8"/>
      <c r="AO17" s="8"/>
      <c r="AP17" s="8"/>
      <c r="AQ17" s="8"/>
      <c r="AR17" s="8"/>
      <c r="AS17" s="8"/>
      <c r="AT17" s="8"/>
      <c r="AU17" s="8"/>
      <c r="AV17" s="8"/>
      <c r="AW17" s="8"/>
      <c r="AX17" s="8"/>
      <c r="AY17" s="8"/>
      <c r="AZ17" s="8"/>
      <c r="BA17" s="8"/>
      <c r="BB17" s="8"/>
    </row>
    <row r="18" spans="1:54" ht="15" customHeight="1" thickBot="1" x14ac:dyDescent="0.25">
      <c r="A18" s="705" t="s">
        <v>508</v>
      </c>
      <c r="B18" s="809">
        <f>(IF(D7&gt;E5,D7,E5))*1.35</f>
        <v>919.33073861596404</v>
      </c>
      <c r="C18" s="807">
        <f>B18/'Income statement'!$L$18</f>
        <v>35.023582135838701</v>
      </c>
      <c r="D18" s="672"/>
      <c r="E18" s="1244" t="s">
        <v>517</v>
      </c>
      <c r="F18" s="1245"/>
      <c r="G18" s="1246"/>
      <c r="H18" s="684">
        <f>((H15/3)*B18)-J7</f>
        <v>17514.219954993907</v>
      </c>
      <c r="I18" s="8"/>
      <c r="J18" s="8"/>
      <c r="K18" s="708"/>
      <c r="L18" s="709"/>
      <c r="M18" s="8"/>
      <c r="N18" s="8"/>
      <c r="O18" s="672"/>
      <c r="W18" s="8"/>
      <c r="X18" s="8"/>
      <c r="Y18" s="8"/>
      <c r="Z18" s="8"/>
      <c r="AA18" s="8"/>
      <c r="AB18" s="8"/>
      <c r="AC18" s="8"/>
      <c r="AD18" s="8"/>
      <c r="AE18" s="8"/>
      <c r="AF18" s="8"/>
      <c r="AG18" s="8"/>
      <c r="AH18" s="692">
        <f>SUM(AH15:AH17)</f>
        <v>83561.705048500007</v>
      </c>
      <c r="AI18" s="8"/>
      <c r="AJ18" s="8"/>
      <c r="AK18" s="328"/>
      <c r="AL18" s="328"/>
      <c r="AM18" s="8"/>
      <c r="AN18" s="8"/>
      <c r="AO18" s="8"/>
      <c r="AP18" s="8"/>
      <c r="AQ18" s="8"/>
      <c r="AR18" s="8"/>
      <c r="AS18" s="8"/>
      <c r="AT18" s="8"/>
      <c r="AU18" s="8"/>
      <c r="AV18" s="8"/>
      <c r="AW18" s="8"/>
      <c r="AX18" s="8"/>
      <c r="AY18" s="8"/>
      <c r="AZ18" s="8"/>
      <c r="BA18" s="8"/>
      <c r="BB18" s="8"/>
    </row>
    <row r="19" spans="1:54" ht="15.75" customHeight="1" thickBot="1" x14ac:dyDescent="0.25">
      <c r="A19" s="705" t="s">
        <v>509</v>
      </c>
      <c r="B19" s="809">
        <f>(IF(D7&gt;E5,D7,E5))*1.5</f>
        <v>1021.4785984621822</v>
      </c>
      <c r="C19" s="807">
        <f>B19/'Income statement'!$L$18</f>
        <v>38.915091262042999</v>
      </c>
      <c r="D19" s="672"/>
      <c r="E19" s="1244" t="s">
        <v>517</v>
      </c>
      <c r="F19" s="1245"/>
      <c r="G19" s="1246"/>
      <c r="H19" s="684">
        <f>((H15/3)*B19)-J7</f>
        <v>20571.355505548785</v>
      </c>
      <c r="I19" s="8"/>
      <c r="J19" s="8"/>
      <c r="K19" s="260" t="s">
        <v>526</v>
      </c>
      <c r="L19" s="704">
        <f>J3</f>
        <v>30000</v>
      </c>
      <c r="M19" s="8"/>
      <c r="N19" s="8"/>
      <c r="O19" s="8"/>
      <c r="W19" s="8"/>
      <c r="X19" s="8"/>
      <c r="Y19" s="8"/>
      <c r="Z19" s="8"/>
      <c r="AA19" s="8"/>
      <c r="AB19" s="8"/>
      <c r="AC19" s="8"/>
      <c r="AD19" s="8"/>
      <c r="AE19" s="8"/>
      <c r="AF19" s="8"/>
      <c r="AI19" s="8"/>
      <c r="AJ19" s="8"/>
      <c r="AK19" s="328"/>
      <c r="AL19" s="328"/>
      <c r="AM19" s="8"/>
      <c r="AN19" s="8"/>
      <c r="AO19" s="8"/>
      <c r="AP19" s="8"/>
      <c r="AQ19" s="8"/>
      <c r="AR19" s="8"/>
      <c r="AS19" s="8"/>
      <c r="AT19" s="8"/>
      <c r="AU19" s="8"/>
      <c r="AV19" s="8"/>
      <c r="AW19" s="8"/>
      <c r="AX19" s="8"/>
      <c r="AY19" s="8"/>
      <c r="AZ19" s="8"/>
      <c r="BA19" s="8"/>
      <c r="BB19" s="8"/>
    </row>
    <row r="20" spans="1:54" ht="15" customHeight="1" thickBot="1" x14ac:dyDescent="0.25">
      <c r="A20" s="682"/>
      <c r="B20" s="683"/>
      <c r="C20" s="683"/>
      <c r="D20" s="683"/>
      <c r="E20" s="1419" t="s">
        <v>519</v>
      </c>
      <c r="F20" s="1420"/>
      <c r="G20" s="1421"/>
      <c r="H20" s="685">
        <f>SUM(H17:H19)</f>
        <v>53561.705048500007</v>
      </c>
      <c r="I20" s="703">
        <f>(AH18-J3)/J3</f>
        <v>1.7853901682833335</v>
      </c>
      <c r="J20" s="8"/>
      <c r="K20" s="702" t="s">
        <v>527</v>
      </c>
      <c r="L20" s="811">
        <f>J3+H20</f>
        <v>83561.705048500007</v>
      </c>
      <c r="M20" s="8"/>
      <c r="N20" s="8"/>
      <c r="O20" s="8"/>
      <c r="P20" s="672"/>
      <c r="Q20" s="8"/>
      <c r="R20" s="8"/>
      <c r="S20" s="328"/>
      <c r="T20" s="328"/>
      <c r="U20" s="328"/>
      <c r="V20" s="328"/>
      <c r="W20" s="8"/>
      <c r="X20" s="8"/>
      <c r="Y20" s="8"/>
      <c r="Z20" s="8"/>
      <c r="AA20" s="8"/>
      <c r="AB20" s="8"/>
      <c r="AC20" s="8"/>
      <c r="AD20" s="8"/>
      <c r="AE20" s="8"/>
      <c r="AF20" s="8"/>
      <c r="AG20" s="8" t="s">
        <v>518</v>
      </c>
      <c r="AH20" s="8"/>
      <c r="AI20" s="8"/>
      <c r="AJ20" s="8"/>
      <c r="AK20" s="8"/>
      <c r="AL20" s="8"/>
      <c r="AM20" s="8"/>
      <c r="AN20" s="8"/>
      <c r="AO20" s="8"/>
      <c r="AP20" s="8"/>
      <c r="AQ20" s="8"/>
      <c r="AR20" s="8"/>
      <c r="AS20" s="8"/>
      <c r="AT20" s="8"/>
      <c r="AU20" s="8"/>
      <c r="AV20" s="8"/>
      <c r="AW20" s="8"/>
      <c r="AX20" s="8"/>
      <c r="AY20" s="8"/>
      <c r="AZ20" s="8"/>
      <c r="BA20" s="8"/>
      <c r="BB20" s="8"/>
    </row>
    <row r="21" spans="1:54" ht="15" customHeight="1" x14ac:dyDescent="0.2">
      <c r="A21" s="434"/>
      <c r="B21" s="435"/>
      <c r="C21" s="435"/>
      <c r="D21" s="435"/>
      <c r="E21" s="435"/>
    </row>
    <row r="22" spans="1:54" ht="15" customHeight="1" x14ac:dyDescent="0.2">
      <c r="A22" s="434"/>
      <c r="B22" s="435"/>
      <c r="C22" s="435"/>
      <c r="D22" s="435"/>
      <c r="E22" s="435"/>
    </row>
    <row r="23" spans="1:54" ht="15" customHeight="1" x14ac:dyDescent="0.2">
      <c r="A23" s="434"/>
      <c r="B23" s="435"/>
      <c r="C23" s="435"/>
      <c r="D23" s="435"/>
      <c r="E23" s="435"/>
      <c r="F23" s="1424"/>
      <c r="G23" s="1424"/>
      <c r="H23" s="173"/>
    </row>
    <row r="35" spans="8:8" ht="15" x14ac:dyDescent="0.25">
      <c r="H35"/>
    </row>
  </sheetData>
  <mergeCells count="19">
    <mergeCell ref="E15:G15"/>
    <mergeCell ref="E11:G11"/>
    <mergeCell ref="B9:C9"/>
    <mergeCell ref="F23:G23"/>
    <mergeCell ref="D3:E3"/>
    <mergeCell ref="B3:C3"/>
    <mergeCell ref="A11:B11"/>
    <mergeCell ref="A16:B16"/>
    <mergeCell ref="E17:G17"/>
    <mergeCell ref="E18:G18"/>
    <mergeCell ref="E19:G19"/>
    <mergeCell ref="E20:G20"/>
    <mergeCell ref="H1:M1"/>
    <mergeCell ref="H3:I3"/>
    <mergeCell ref="E12:G12"/>
    <mergeCell ref="E13:G13"/>
    <mergeCell ref="E14:G14"/>
    <mergeCell ref="A1:E1"/>
    <mergeCell ref="A2:E2"/>
  </mergeCells>
  <conditionalFormatting sqref="B5:B7">
    <cfRule type="expression" dxfId="47" priority="24">
      <formula>B5&lt;$B$9</formula>
    </cfRule>
    <cfRule type="expression" dxfId="46" priority="25">
      <formula>B5&gt;=$B$9</formula>
    </cfRule>
  </conditionalFormatting>
  <conditionalFormatting sqref="C5">
    <cfRule type="expression" dxfId="45" priority="22">
      <formula>C5&lt;$B$9</formula>
    </cfRule>
    <cfRule type="expression" dxfId="44" priority="23">
      <formula>C5&gt;=$B$9</formula>
    </cfRule>
  </conditionalFormatting>
  <conditionalFormatting sqref="D5:D7">
    <cfRule type="expression" dxfId="43" priority="18">
      <formula>D5&lt;$E$9</formula>
    </cfRule>
    <cfRule type="expression" dxfId="42" priority="19">
      <formula>D5&gt;=$E$9</formula>
    </cfRule>
  </conditionalFormatting>
  <conditionalFormatting sqref="E5">
    <cfRule type="expression" dxfId="41" priority="14">
      <formula>E5&lt;$E$9</formula>
    </cfRule>
    <cfRule type="expression" dxfId="40" priority="15">
      <formula>E5&gt;=$E$9</formula>
    </cfRule>
  </conditionalFormatting>
  <conditionalFormatting sqref="B12">
    <cfRule type="expression" dxfId="39" priority="13">
      <formula>B12&gt;$E$9</formula>
    </cfRule>
  </conditionalFormatting>
  <conditionalFormatting sqref="B13">
    <cfRule type="expression" dxfId="38" priority="12">
      <formula>B13&gt;$E$9</formula>
    </cfRule>
  </conditionalFormatting>
  <conditionalFormatting sqref="B14">
    <cfRule type="expression" dxfId="37" priority="11">
      <formula>B14&gt;$E$9</formula>
    </cfRule>
  </conditionalFormatting>
  <conditionalFormatting sqref="B17">
    <cfRule type="expression" dxfId="36" priority="10">
      <formula>B17&lt;$E$9</formula>
    </cfRule>
  </conditionalFormatting>
  <conditionalFormatting sqref="B18:B19">
    <cfRule type="expression" dxfId="35" priority="9">
      <formula>B18&lt;$E$9</formula>
    </cfRule>
  </conditionalFormatting>
  <conditionalFormatting sqref="I20">
    <cfRule type="expression" dxfId="34" priority="7">
      <formula>$I$20&gt;=50%</formula>
    </cfRule>
    <cfRule type="expression" dxfId="33" priority="8">
      <formula>$I$20&lt;50%</formula>
    </cfRule>
  </conditionalFormatting>
  <conditionalFormatting sqref="B8">
    <cfRule type="expression" dxfId="32" priority="5">
      <formula>$B$8&gt;$B$9</formula>
    </cfRule>
    <cfRule type="expression" dxfId="31" priority="6">
      <formula>$B$8&lt;$B$9</formula>
    </cfRule>
  </conditionalFormatting>
  <conditionalFormatting sqref="D8">
    <cfRule type="expression" dxfId="30" priority="3">
      <formula>$D$8&gt;$E$9</formula>
    </cfRule>
    <cfRule type="expression" dxfId="29" priority="4">
      <formula>$D$8&lt;$E$9</formula>
    </cfRule>
  </conditionalFormatting>
  <conditionalFormatting sqref="G9">
    <cfRule type="expression" dxfId="28" priority="1">
      <formula>$G$9&lt;$E$9</formula>
    </cfRule>
    <cfRule type="expression" dxfId="27" priority="2">
      <formula>$G$9&gt;$E$9</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showGridLines="0" workbookViewId="0">
      <selection activeCell="S13" sqref="S13"/>
    </sheetView>
  </sheetViews>
  <sheetFormatPr defaultRowHeight="15" x14ac:dyDescent="0.25"/>
  <sheetData>
    <row r="1" spans="1:16" ht="21" customHeight="1" x14ac:dyDescent="0.25">
      <c r="L1" s="827" t="s">
        <v>181</v>
      </c>
      <c r="M1" s="827"/>
      <c r="N1" s="827"/>
      <c r="O1" s="827"/>
      <c r="P1" s="827"/>
    </row>
    <row r="9" spans="1:16" x14ac:dyDescent="0.25">
      <c r="A9" s="572" t="s">
        <v>415</v>
      </c>
      <c r="O9" s="812"/>
    </row>
    <row r="10" spans="1:16" x14ac:dyDescent="0.25">
      <c r="A10" t="s">
        <v>416</v>
      </c>
    </row>
    <row r="12" spans="1:16" ht="18.75" x14ac:dyDescent="0.25">
      <c r="A12" s="825" t="s">
        <v>417</v>
      </c>
      <c r="B12" s="825"/>
      <c r="C12" s="825"/>
      <c r="D12" s="825"/>
      <c r="E12" s="825"/>
    </row>
    <row r="14" spans="1:16" ht="18.75" x14ac:dyDescent="0.3">
      <c r="A14" s="571" t="s">
        <v>418</v>
      </c>
      <c r="B14" s="826" t="s">
        <v>651</v>
      </c>
      <c r="C14" s="826"/>
      <c r="D14" s="826"/>
      <c r="E14" s="826"/>
      <c r="F14" s="826"/>
    </row>
    <row r="16" spans="1:16" ht="18.75" x14ac:dyDescent="0.3">
      <c r="A16" s="571" t="s">
        <v>419</v>
      </c>
    </row>
    <row r="18" spans="1:19" ht="18.75" x14ac:dyDescent="0.3">
      <c r="A18" s="571" t="s">
        <v>422</v>
      </c>
    </row>
    <row r="20" spans="1:19" ht="15.75" thickBot="1" x14ac:dyDescent="0.3"/>
    <row r="21" spans="1:19" ht="15.75" thickBot="1" x14ac:dyDescent="0.3">
      <c r="A21" s="574" t="s">
        <v>420</v>
      </c>
      <c r="B21" s="575"/>
      <c r="C21" s="575"/>
      <c r="D21" s="575"/>
      <c r="E21" s="575"/>
      <c r="F21" s="575"/>
      <c r="G21" s="575"/>
      <c r="H21" s="575"/>
      <c r="I21" s="575"/>
      <c r="J21" s="575"/>
      <c r="K21" s="575"/>
      <c r="L21" s="575"/>
      <c r="M21" s="575"/>
      <c r="N21" s="575"/>
      <c r="O21" s="575"/>
      <c r="P21" s="575"/>
      <c r="Q21" s="576"/>
    </row>
    <row r="22" spans="1:19" ht="15.75" thickBot="1" x14ac:dyDescent="0.3">
      <c r="A22" s="292" t="s">
        <v>421</v>
      </c>
      <c r="B22" s="386"/>
      <c r="C22" s="386"/>
      <c r="D22" s="386"/>
      <c r="E22" s="386"/>
      <c r="F22" s="386"/>
      <c r="G22" s="386"/>
      <c r="H22" s="386"/>
      <c r="I22" s="386"/>
      <c r="J22" s="386"/>
      <c r="K22" s="386"/>
      <c r="L22" s="386"/>
      <c r="M22" s="386"/>
      <c r="N22" s="386"/>
      <c r="O22" s="386"/>
      <c r="P22" s="386"/>
      <c r="Q22" s="573"/>
    </row>
    <row r="25" spans="1:19" x14ac:dyDescent="0.25">
      <c r="A25" s="828" t="s">
        <v>653</v>
      </c>
      <c r="B25" s="828"/>
      <c r="C25" s="828"/>
      <c r="D25" s="828"/>
      <c r="E25" s="828"/>
    </row>
    <row r="27" spans="1:19" x14ac:dyDescent="0.25">
      <c r="A27" s="829" t="s">
        <v>654</v>
      </c>
      <c r="B27" s="829"/>
      <c r="C27" s="829"/>
      <c r="D27" s="829"/>
      <c r="E27" s="829"/>
    </row>
    <row r="28" spans="1:19" ht="15.75" thickBot="1" x14ac:dyDescent="0.3"/>
    <row r="29" spans="1:19" ht="15.75" thickBot="1" x14ac:dyDescent="0.3">
      <c r="A29" s="830" t="s">
        <v>761</v>
      </c>
      <c r="B29" s="831"/>
      <c r="C29" s="831"/>
      <c r="D29" s="831"/>
      <c r="E29" s="831"/>
      <c r="F29" s="831"/>
      <c r="G29" s="831"/>
      <c r="H29" s="831"/>
      <c r="I29" s="831"/>
      <c r="J29" s="831"/>
      <c r="K29" s="831"/>
      <c r="L29" s="832"/>
      <c r="M29" s="815"/>
      <c r="N29" s="815"/>
      <c r="O29" s="815"/>
      <c r="P29" s="815"/>
      <c r="Q29" s="815"/>
      <c r="R29" s="815"/>
      <c r="S29" s="815"/>
    </row>
    <row r="30" spans="1:19" x14ac:dyDescent="0.25">
      <c r="A30" s="816"/>
      <c r="B30" s="817"/>
      <c r="C30" s="817"/>
      <c r="D30" s="817"/>
      <c r="E30" s="817"/>
      <c r="F30" s="817"/>
      <c r="G30" s="817"/>
      <c r="H30" s="817"/>
      <c r="I30" s="817"/>
      <c r="J30" s="817"/>
      <c r="K30" s="817"/>
      <c r="L30" s="819"/>
      <c r="M30" s="817"/>
      <c r="N30" s="99"/>
      <c r="O30" s="2"/>
      <c r="P30" s="2"/>
      <c r="Q30" s="2"/>
      <c r="R30" s="2"/>
      <c r="S30" s="2"/>
    </row>
    <row r="31" spans="1:19" x14ac:dyDescent="0.25">
      <c r="A31" s="833" t="s">
        <v>675</v>
      </c>
      <c r="B31" s="834"/>
      <c r="C31" s="836" t="s">
        <v>657</v>
      </c>
      <c r="D31" s="836"/>
      <c r="E31" s="836" t="s">
        <v>692</v>
      </c>
      <c r="F31" s="836"/>
      <c r="G31" s="836" t="s">
        <v>710</v>
      </c>
      <c r="H31" s="836"/>
      <c r="I31" s="836" t="s">
        <v>728</v>
      </c>
      <c r="J31" s="836"/>
      <c r="K31" s="834" t="s">
        <v>738</v>
      </c>
      <c r="L31" s="837"/>
      <c r="M31" s="2"/>
      <c r="N31" s="99"/>
      <c r="O31" s="2"/>
      <c r="P31" s="2"/>
      <c r="Q31" s="2"/>
      <c r="R31" s="2"/>
      <c r="S31" s="2"/>
    </row>
    <row r="32" spans="1:19" x14ac:dyDescent="0.25">
      <c r="A32" s="835" t="s">
        <v>674</v>
      </c>
      <c r="B32" s="836"/>
      <c r="C32" s="834" t="s">
        <v>656</v>
      </c>
      <c r="D32" s="834"/>
      <c r="E32" s="834" t="s">
        <v>693</v>
      </c>
      <c r="F32" s="834"/>
      <c r="G32" s="836" t="s">
        <v>711</v>
      </c>
      <c r="H32" s="836"/>
      <c r="I32" s="834" t="s">
        <v>729</v>
      </c>
      <c r="J32" s="834"/>
      <c r="K32" s="834" t="s">
        <v>737</v>
      </c>
      <c r="L32" s="837"/>
      <c r="M32" s="2"/>
      <c r="N32" s="99"/>
      <c r="O32" s="2"/>
      <c r="P32" s="2"/>
      <c r="Q32" s="2"/>
      <c r="R32" s="2"/>
      <c r="S32" s="2"/>
    </row>
    <row r="33" spans="1:19" x14ac:dyDescent="0.25">
      <c r="A33" s="833" t="s">
        <v>673</v>
      </c>
      <c r="B33" s="834"/>
      <c r="C33" s="834" t="s">
        <v>691</v>
      </c>
      <c r="D33" s="834"/>
      <c r="E33" s="836" t="s">
        <v>694</v>
      </c>
      <c r="F33" s="836"/>
      <c r="G33" s="836" t="s">
        <v>712</v>
      </c>
      <c r="H33" s="836"/>
      <c r="I33" s="836" t="s">
        <v>730</v>
      </c>
      <c r="J33" s="836"/>
      <c r="K33" s="834" t="s">
        <v>748</v>
      </c>
      <c r="L33" s="837"/>
      <c r="M33" s="2"/>
      <c r="N33" s="99"/>
      <c r="O33" s="2"/>
      <c r="P33" s="2"/>
      <c r="Q33" s="2"/>
      <c r="R33" s="2"/>
      <c r="S33" s="2"/>
    </row>
    <row r="34" spans="1:19" x14ac:dyDescent="0.25">
      <c r="A34" s="835" t="s">
        <v>672</v>
      </c>
      <c r="B34" s="836"/>
      <c r="C34" s="834" t="s">
        <v>690</v>
      </c>
      <c r="D34" s="834"/>
      <c r="E34" s="834" t="s">
        <v>695</v>
      </c>
      <c r="F34" s="834"/>
      <c r="G34" s="836" t="s">
        <v>713</v>
      </c>
      <c r="H34" s="836"/>
      <c r="I34" s="836" t="s">
        <v>731</v>
      </c>
      <c r="J34" s="836"/>
      <c r="K34" s="834" t="s">
        <v>756</v>
      </c>
      <c r="L34" s="837"/>
      <c r="M34" s="2"/>
      <c r="N34" s="99"/>
      <c r="O34" s="2"/>
      <c r="P34" s="2"/>
      <c r="Q34" s="2"/>
      <c r="R34" s="2"/>
      <c r="S34" s="2"/>
    </row>
    <row r="35" spans="1:19" x14ac:dyDescent="0.25">
      <c r="A35" s="835" t="s">
        <v>671</v>
      </c>
      <c r="B35" s="836"/>
      <c r="C35" s="834" t="s">
        <v>689</v>
      </c>
      <c r="D35" s="834"/>
      <c r="E35" s="834" t="s">
        <v>696</v>
      </c>
      <c r="F35" s="834"/>
      <c r="G35" s="834" t="s">
        <v>714</v>
      </c>
      <c r="H35" s="834"/>
      <c r="I35" s="834" t="s">
        <v>732</v>
      </c>
      <c r="J35" s="834"/>
      <c r="K35" s="836" t="s">
        <v>755</v>
      </c>
      <c r="L35" s="838"/>
      <c r="M35" s="2"/>
      <c r="N35" s="99"/>
      <c r="O35" s="2"/>
      <c r="P35" s="2"/>
      <c r="Q35" s="2"/>
      <c r="R35" s="2"/>
      <c r="S35" s="2"/>
    </row>
    <row r="36" spans="1:19" x14ac:dyDescent="0.25">
      <c r="A36" s="833" t="s">
        <v>670</v>
      </c>
      <c r="B36" s="834"/>
      <c r="C36" s="836" t="s">
        <v>688</v>
      </c>
      <c r="D36" s="836"/>
      <c r="E36" s="836" t="s">
        <v>697</v>
      </c>
      <c r="F36" s="836"/>
      <c r="G36" s="836" t="s">
        <v>715</v>
      </c>
      <c r="H36" s="836"/>
      <c r="I36" s="836" t="s">
        <v>733</v>
      </c>
      <c r="J36" s="836"/>
      <c r="K36" s="834" t="s">
        <v>754</v>
      </c>
      <c r="L36" s="837"/>
      <c r="M36" s="2"/>
      <c r="N36" s="99"/>
      <c r="O36" s="2"/>
      <c r="P36" s="2"/>
      <c r="Q36" s="2"/>
      <c r="R36" s="2"/>
      <c r="S36" s="2"/>
    </row>
    <row r="37" spans="1:19" x14ac:dyDescent="0.25">
      <c r="A37" s="835" t="s">
        <v>669</v>
      </c>
      <c r="B37" s="836"/>
      <c r="C37" s="836" t="s">
        <v>687</v>
      </c>
      <c r="D37" s="836"/>
      <c r="E37" s="836" t="s">
        <v>698</v>
      </c>
      <c r="F37" s="836"/>
      <c r="G37" s="836" t="s">
        <v>716</v>
      </c>
      <c r="H37" s="836"/>
      <c r="I37" s="834" t="s">
        <v>734</v>
      </c>
      <c r="J37" s="834"/>
      <c r="K37" s="834" t="s">
        <v>753</v>
      </c>
      <c r="L37" s="837"/>
      <c r="M37" s="2"/>
      <c r="N37" s="99"/>
      <c r="O37" s="2"/>
      <c r="P37" s="2"/>
      <c r="Q37" s="2"/>
      <c r="R37" s="2"/>
      <c r="S37" s="2"/>
    </row>
    <row r="38" spans="1:19" x14ac:dyDescent="0.25">
      <c r="A38" s="835" t="s">
        <v>668</v>
      </c>
      <c r="B38" s="836"/>
      <c r="C38" s="836" t="s">
        <v>686</v>
      </c>
      <c r="D38" s="836"/>
      <c r="E38" s="836" t="s">
        <v>699</v>
      </c>
      <c r="F38" s="836"/>
      <c r="G38" s="834" t="s">
        <v>717</v>
      </c>
      <c r="H38" s="834"/>
      <c r="I38" s="834" t="s">
        <v>735</v>
      </c>
      <c r="J38" s="834"/>
      <c r="K38" s="834" t="s">
        <v>752</v>
      </c>
      <c r="L38" s="837"/>
      <c r="M38" s="2"/>
      <c r="N38" s="99"/>
      <c r="O38" s="2"/>
      <c r="P38" s="2"/>
      <c r="Q38" s="2"/>
      <c r="R38" s="2"/>
      <c r="S38" s="2"/>
    </row>
    <row r="39" spans="1:19" x14ac:dyDescent="0.25">
      <c r="A39" s="835" t="s">
        <v>667</v>
      </c>
      <c r="B39" s="836"/>
      <c r="C39" s="836" t="s">
        <v>685</v>
      </c>
      <c r="D39" s="836"/>
      <c r="E39" s="834" t="s">
        <v>700</v>
      </c>
      <c r="F39" s="834"/>
      <c r="G39" s="836" t="s">
        <v>718</v>
      </c>
      <c r="H39" s="836"/>
      <c r="I39" s="834" t="s">
        <v>736</v>
      </c>
      <c r="J39" s="834"/>
      <c r="K39" s="836" t="s">
        <v>751</v>
      </c>
      <c r="L39" s="838"/>
      <c r="M39" s="2"/>
      <c r="N39" s="99"/>
      <c r="O39" s="2"/>
      <c r="P39" s="2"/>
      <c r="Q39" s="2"/>
      <c r="R39" s="2"/>
      <c r="S39" s="2"/>
    </row>
    <row r="40" spans="1:19" x14ac:dyDescent="0.25">
      <c r="A40" s="835" t="s">
        <v>666</v>
      </c>
      <c r="B40" s="836"/>
      <c r="C40" s="836" t="s">
        <v>684</v>
      </c>
      <c r="D40" s="836"/>
      <c r="E40" s="834" t="s">
        <v>701</v>
      </c>
      <c r="F40" s="834"/>
      <c r="G40" s="834" t="s">
        <v>719</v>
      </c>
      <c r="H40" s="834"/>
      <c r="I40" s="836" t="s">
        <v>747</v>
      </c>
      <c r="J40" s="836"/>
      <c r="K40" s="834" t="s">
        <v>750</v>
      </c>
      <c r="L40" s="837"/>
      <c r="M40" s="2"/>
      <c r="N40" s="99"/>
      <c r="O40" s="2"/>
      <c r="P40" s="2"/>
      <c r="Q40" s="2"/>
      <c r="R40" s="2"/>
      <c r="S40" s="2"/>
    </row>
    <row r="41" spans="1:19" x14ac:dyDescent="0.25">
      <c r="A41" s="833" t="s">
        <v>665</v>
      </c>
      <c r="B41" s="834"/>
      <c r="C41" s="836" t="s">
        <v>683</v>
      </c>
      <c r="D41" s="836"/>
      <c r="E41" s="836" t="s">
        <v>702</v>
      </c>
      <c r="F41" s="836"/>
      <c r="G41" s="836" t="s">
        <v>720</v>
      </c>
      <c r="H41" s="836"/>
      <c r="I41" s="834" t="s">
        <v>746</v>
      </c>
      <c r="J41" s="834"/>
      <c r="K41" s="834" t="s">
        <v>749</v>
      </c>
      <c r="L41" s="837"/>
      <c r="M41" s="2"/>
      <c r="N41" s="99"/>
      <c r="O41" s="2"/>
      <c r="P41" s="2"/>
      <c r="Q41" s="2"/>
      <c r="R41" s="2"/>
      <c r="S41" s="2"/>
    </row>
    <row r="42" spans="1:19" x14ac:dyDescent="0.25">
      <c r="A42" s="835" t="s">
        <v>664</v>
      </c>
      <c r="B42" s="836"/>
      <c r="C42" s="836" t="s">
        <v>682</v>
      </c>
      <c r="D42" s="836"/>
      <c r="E42" s="836" t="s">
        <v>703</v>
      </c>
      <c r="F42" s="836"/>
      <c r="G42" s="834" t="s">
        <v>721</v>
      </c>
      <c r="H42" s="834"/>
      <c r="I42" s="834" t="s">
        <v>745</v>
      </c>
      <c r="J42" s="834"/>
      <c r="K42" s="836" t="s">
        <v>760</v>
      </c>
      <c r="L42" s="838"/>
      <c r="M42" s="2"/>
      <c r="N42" s="99"/>
      <c r="O42" s="2"/>
      <c r="P42" s="2"/>
      <c r="Q42" s="2"/>
      <c r="R42" s="2"/>
      <c r="S42" s="2"/>
    </row>
    <row r="43" spans="1:19" x14ac:dyDescent="0.25">
      <c r="A43" s="835" t="s">
        <v>663</v>
      </c>
      <c r="B43" s="836"/>
      <c r="C43" s="834" t="s">
        <v>681</v>
      </c>
      <c r="D43" s="834"/>
      <c r="E43" s="836" t="s">
        <v>704</v>
      </c>
      <c r="F43" s="836"/>
      <c r="G43" s="836" t="s">
        <v>722</v>
      </c>
      <c r="H43" s="836"/>
      <c r="I43" s="836" t="s">
        <v>744</v>
      </c>
      <c r="J43" s="836"/>
      <c r="K43" s="836" t="s">
        <v>759</v>
      </c>
      <c r="L43" s="838"/>
      <c r="M43" s="818"/>
      <c r="N43" s="99"/>
      <c r="O43" s="2"/>
      <c r="P43" s="2"/>
      <c r="Q43" s="2"/>
      <c r="R43" s="2"/>
      <c r="S43" s="2"/>
    </row>
    <row r="44" spans="1:19" x14ac:dyDescent="0.25">
      <c r="A44" s="835" t="s">
        <v>662</v>
      </c>
      <c r="B44" s="836"/>
      <c r="C44" s="836" t="s">
        <v>680</v>
      </c>
      <c r="D44" s="836"/>
      <c r="E44" s="834" t="s">
        <v>705</v>
      </c>
      <c r="F44" s="834"/>
      <c r="G44" s="836" t="s">
        <v>723</v>
      </c>
      <c r="H44" s="836"/>
      <c r="I44" s="836" t="s">
        <v>743</v>
      </c>
      <c r="J44" s="836"/>
      <c r="K44" s="836" t="s">
        <v>758</v>
      </c>
      <c r="L44" s="838"/>
      <c r="M44" s="818"/>
      <c r="N44" s="99"/>
      <c r="O44" s="2"/>
      <c r="P44" s="2"/>
      <c r="Q44" s="2"/>
      <c r="R44" s="2"/>
      <c r="S44" s="2"/>
    </row>
    <row r="45" spans="1:19" x14ac:dyDescent="0.25">
      <c r="A45" s="835" t="s">
        <v>661</v>
      </c>
      <c r="B45" s="836"/>
      <c r="C45" s="836" t="s">
        <v>679</v>
      </c>
      <c r="D45" s="836"/>
      <c r="E45" s="836" t="s">
        <v>706</v>
      </c>
      <c r="F45" s="836"/>
      <c r="G45" s="836" t="s">
        <v>724</v>
      </c>
      <c r="H45" s="836"/>
      <c r="I45" s="836" t="s">
        <v>742</v>
      </c>
      <c r="J45" s="836"/>
      <c r="K45" s="836" t="s">
        <v>757</v>
      </c>
      <c r="L45" s="838"/>
      <c r="M45" s="818"/>
      <c r="N45" s="99"/>
      <c r="O45" s="2"/>
      <c r="P45" s="2"/>
      <c r="Q45" s="2"/>
      <c r="R45" s="2"/>
      <c r="S45" s="2"/>
    </row>
    <row r="46" spans="1:19" x14ac:dyDescent="0.25">
      <c r="A46" s="833" t="s">
        <v>660</v>
      </c>
      <c r="B46" s="834"/>
      <c r="C46" s="836" t="s">
        <v>678</v>
      </c>
      <c r="D46" s="836"/>
      <c r="E46" s="836" t="s">
        <v>707</v>
      </c>
      <c r="F46" s="836"/>
      <c r="G46" s="836" t="s">
        <v>725</v>
      </c>
      <c r="H46" s="836"/>
      <c r="I46" s="834" t="s">
        <v>741</v>
      </c>
      <c r="J46" s="834"/>
      <c r="K46" s="821" t="s">
        <v>763</v>
      </c>
      <c r="L46" s="820"/>
      <c r="M46" s="818"/>
      <c r="N46" s="99"/>
      <c r="O46" s="2"/>
      <c r="P46" s="2"/>
      <c r="Q46" s="2"/>
      <c r="R46" s="2"/>
      <c r="S46" s="2"/>
    </row>
    <row r="47" spans="1:19" x14ac:dyDescent="0.25">
      <c r="A47" s="833" t="s">
        <v>659</v>
      </c>
      <c r="B47" s="834"/>
      <c r="C47" s="836" t="s">
        <v>677</v>
      </c>
      <c r="D47" s="836"/>
      <c r="E47" s="836" t="s">
        <v>708</v>
      </c>
      <c r="F47" s="836"/>
      <c r="G47" s="836" t="s">
        <v>726</v>
      </c>
      <c r="H47" s="836"/>
      <c r="I47" s="836" t="s">
        <v>740</v>
      </c>
      <c r="J47" s="836"/>
      <c r="K47" s="821" t="s">
        <v>764</v>
      </c>
      <c r="L47" s="820"/>
      <c r="M47" s="818"/>
      <c r="N47" s="99"/>
      <c r="O47" s="2"/>
      <c r="P47" s="2"/>
      <c r="Q47" s="2"/>
      <c r="R47" s="2"/>
      <c r="S47" s="2"/>
    </row>
    <row r="48" spans="1:19" x14ac:dyDescent="0.25">
      <c r="A48" s="835" t="s">
        <v>658</v>
      </c>
      <c r="B48" s="836"/>
      <c r="C48" s="834" t="s">
        <v>676</v>
      </c>
      <c r="D48" s="834"/>
      <c r="E48" s="834" t="s">
        <v>709</v>
      </c>
      <c r="F48" s="834"/>
      <c r="G48" s="834" t="s">
        <v>727</v>
      </c>
      <c r="H48" s="834"/>
      <c r="I48" s="836" t="s">
        <v>739</v>
      </c>
      <c r="J48" s="836"/>
      <c r="K48" s="821" t="s">
        <v>765</v>
      </c>
      <c r="L48" s="820"/>
      <c r="M48" s="818"/>
      <c r="N48" s="99"/>
      <c r="O48" s="2"/>
      <c r="P48" s="2"/>
      <c r="Q48" s="2"/>
      <c r="R48" s="2"/>
      <c r="S48" s="2"/>
    </row>
    <row r="49" spans="1:19" ht="15.75" thickBot="1" x14ac:dyDescent="0.3">
      <c r="A49" s="725"/>
      <c r="B49" s="386"/>
      <c r="C49" s="386"/>
      <c r="D49" s="386"/>
      <c r="E49" s="386"/>
      <c r="F49" s="386"/>
      <c r="G49" s="386"/>
      <c r="H49" s="386"/>
      <c r="I49" s="386"/>
      <c r="J49" s="386"/>
      <c r="K49" s="386"/>
      <c r="L49" s="573"/>
      <c r="M49" s="2"/>
      <c r="N49" s="2"/>
      <c r="O49" s="2"/>
      <c r="P49" s="2"/>
      <c r="Q49" s="2"/>
      <c r="R49" s="2"/>
      <c r="S49" s="2"/>
    </row>
    <row r="50" spans="1:19" ht="15.75" thickBot="1" x14ac:dyDescent="0.3">
      <c r="A50" s="839" t="s">
        <v>762</v>
      </c>
      <c r="B50" s="840"/>
      <c r="C50" s="840"/>
      <c r="D50" s="840"/>
      <c r="E50" s="840"/>
      <c r="F50" s="840"/>
      <c r="G50" s="840"/>
      <c r="H50" s="840"/>
      <c r="I50" s="840"/>
      <c r="J50" s="840"/>
      <c r="K50" s="840"/>
      <c r="L50" s="841"/>
    </row>
  </sheetData>
  <mergeCells count="112">
    <mergeCell ref="K44:L44"/>
    <mergeCell ref="K45:L45"/>
    <mergeCell ref="A50:L50"/>
    <mergeCell ref="K39:L39"/>
    <mergeCell ref="K40:L40"/>
    <mergeCell ref="K41:L41"/>
    <mergeCell ref="K42:L42"/>
    <mergeCell ref="K43:L43"/>
    <mergeCell ref="K34:L34"/>
    <mergeCell ref="K35:L35"/>
    <mergeCell ref="K36:L36"/>
    <mergeCell ref="K37:L37"/>
    <mergeCell ref="K38:L38"/>
    <mergeCell ref="I44:J44"/>
    <mergeCell ref="I45:J45"/>
    <mergeCell ref="I46:J46"/>
    <mergeCell ref="I47:J47"/>
    <mergeCell ref="I48:J48"/>
    <mergeCell ref="I39:J39"/>
    <mergeCell ref="I40:J40"/>
    <mergeCell ref="I41:J41"/>
    <mergeCell ref="I42:J42"/>
    <mergeCell ref="I43:J43"/>
    <mergeCell ref="I34:J34"/>
    <mergeCell ref="I35:J35"/>
    <mergeCell ref="I36:J36"/>
    <mergeCell ref="I37:J37"/>
    <mergeCell ref="I38:J38"/>
    <mergeCell ref="G44:H44"/>
    <mergeCell ref="G45:H45"/>
    <mergeCell ref="G46:H46"/>
    <mergeCell ref="G47:H47"/>
    <mergeCell ref="G48:H48"/>
    <mergeCell ref="E46:F46"/>
    <mergeCell ref="E47:F47"/>
    <mergeCell ref="E48:F48"/>
    <mergeCell ref="G31:H31"/>
    <mergeCell ref="G32:H32"/>
    <mergeCell ref="G33:H33"/>
    <mergeCell ref="G34:H34"/>
    <mergeCell ref="G35:H35"/>
    <mergeCell ref="G36:H36"/>
    <mergeCell ref="G37:H37"/>
    <mergeCell ref="G38:H38"/>
    <mergeCell ref="G39:H39"/>
    <mergeCell ref="G40:H40"/>
    <mergeCell ref="G41:H41"/>
    <mergeCell ref="G42:H42"/>
    <mergeCell ref="G43:H43"/>
    <mergeCell ref="C48:D48"/>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C43:D43"/>
    <mergeCell ref="C44:D44"/>
    <mergeCell ref="C45:D45"/>
    <mergeCell ref="C46:D46"/>
    <mergeCell ref="C47:D47"/>
    <mergeCell ref="C38:D38"/>
    <mergeCell ref="C39:D39"/>
    <mergeCell ref="C40:D40"/>
    <mergeCell ref="C41:D41"/>
    <mergeCell ref="C42:D42"/>
    <mergeCell ref="C34:D34"/>
    <mergeCell ref="C33:D33"/>
    <mergeCell ref="C35:D35"/>
    <mergeCell ref="C36:D36"/>
    <mergeCell ref="C37:D37"/>
    <mergeCell ref="A44:B44"/>
    <mergeCell ref="A46:B46"/>
    <mergeCell ref="A45:B45"/>
    <mergeCell ref="A47:B47"/>
    <mergeCell ref="A48:B48"/>
    <mergeCell ref="A39:B39"/>
    <mergeCell ref="A40:B40"/>
    <mergeCell ref="A41:B41"/>
    <mergeCell ref="A42:B42"/>
    <mergeCell ref="A43:B43"/>
    <mergeCell ref="A34:B34"/>
    <mergeCell ref="A35:B35"/>
    <mergeCell ref="A36:B36"/>
    <mergeCell ref="A37:B37"/>
    <mergeCell ref="A38:B38"/>
    <mergeCell ref="A12:E12"/>
    <mergeCell ref="B14:F14"/>
    <mergeCell ref="L1:P1"/>
    <mergeCell ref="A25:E25"/>
    <mergeCell ref="A27:E27"/>
    <mergeCell ref="A29:L29"/>
    <mergeCell ref="A31:B31"/>
    <mergeCell ref="A32:B32"/>
    <mergeCell ref="A33:B33"/>
    <mergeCell ref="C31:D31"/>
    <mergeCell ref="C32:D32"/>
    <mergeCell ref="I31:J31"/>
    <mergeCell ref="I32:J32"/>
    <mergeCell ref="I33:J33"/>
    <mergeCell ref="K31:L31"/>
    <mergeCell ref="K32:L32"/>
    <mergeCell ref="K33:L33"/>
  </mergeCells>
  <hyperlinks>
    <hyperlink ref="B14" r:id="rId1" display="Click here to get my Winner's List of Stocks"/>
    <hyperlink ref="L1:N1" r:id="rId2" display="http://www.investordiary.in/"/>
    <hyperlink ref="A25:E25" r:id="rId3" display="Click Here: List Of 52-Week Low Stocks In India"/>
    <hyperlink ref="A27:E27" r:id="rId4" display="Click Here: IPO Historic Table"/>
    <hyperlink ref="A31" r:id="rId5" display="http://www.screener.in/company/3MINDIA/"/>
    <hyperlink ref="G37" r:id="rId6" display="http://www.screener.in/company/RELAXO/"/>
    <hyperlink ref="G39" r:id="rId7" display="http://www.screener.in/company/SFL/consolidated"/>
    <hyperlink ref="G43" r:id="rId8" display="http://www.screener.in/company/SUPREMEIND/consolidated"/>
    <hyperlink ref="G46" r:id="rId9" display="http://www.screener.in/company/SYNGENE/"/>
    <hyperlink ref="I39" r:id="rId10" location="top" display="https://www.screener.in/company/GALAXYSURF/consolidated/ - top"/>
    <hyperlink ref="I40" r:id="rId11" display="http://www.screener.in/company/ASIANPAINT/consolidated"/>
    <hyperlink ref="I43" r:id="rId12" display="http://www.screener.in/company/BRITANNIA/consolidated"/>
    <hyperlink ref="I44" r:id="rId13" display="http://www.screener.in/company/DABUR/consolidated"/>
    <hyperlink ref="I45" r:id="rId14" display="http://www.screener.in/company/EICHERMOT/consolidated"/>
    <hyperlink ref="I47" r:id="rId15" display="http://www.screener.in/company/HCLTECH/consolidated"/>
    <hyperlink ref="K42" r:id="rId16" display="http://www.screener.in/company/507526/"/>
    <hyperlink ref="K43" r:id="rId17" display="http://www.screener.in/company/CONTROLPR/"/>
    <hyperlink ref="A33" r:id="rId18"/>
    <hyperlink ref="A32" r:id="rId19"/>
    <hyperlink ref="A34" r:id="rId20"/>
    <hyperlink ref="A35" r:id="rId21"/>
    <hyperlink ref="A36" r:id="rId22"/>
    <hyperlink ref="A37" r:id="rId23"/>
    <hyperlink ref="A38" r:id="rId24"/>
    <hyperlink ref="A39" r:id="rId25"/>
    <hyperlink ref="A40" r:id="rId26"/>
    <hyperlink ref="A41" r:id="rId27"/>
    <hyperlink ref="A42" r:id="rId28"/>
    <hyperlink ref="A43" r:id="rId29"/>
    <hyperlink ref="A44" r:id="rId30"/>
    <hyperlink ref="A45" r:id="rId31"/>
    <hyperlink ref="A46" r:id="rId32"/>
    <hyperlink ref="A47" r:id="rId33"/>
    <hyperlink ref="A48" r:id="rId34"/>
    <hyperlink ref="C31" r:id="rId35"/>
    <hyperlink ref="C32" r:id="rId36"/>
    <hyperlink ref="C33" r:id="rId37"/>
    <hyperlink ref="C34" r:id="rId38"/>
    <hyperlink ref="C35" r:id="rId39"/>
    <hyperlink ref="C36" r:id="rId40"/>
    <hyperlink ref="C37" r:id="rId41"/>
    <hyperlink ref="C38" r:id="rId42"/>
    <hyperlink ref="C39" r:id="rId43"/>
    <hyperlink ref="C40" r:id="rId44"/>
    <hyperlink ref="C41" r:id="rId45"/>
    <hyperlink ref="C42" r:id="rId46"/>
    <hyperlink ref="C43" r:id="rId47"/>
    <hyperlink ref="C44" r:id="rId48"/>
    <hyperlink ref="C45" r:id="rId49"/>
    <hyperlink ref="C46" r:id="rId50"/>
    <hyperlink ref="C47" r:id="rId51"/>
    <hyperlink ref="C48" r:id="rId52"/>
    <hyperlink ref="E31" r:id="rId53"/>
    <hyperlink ref="E32" r:id="rId54"/>
    <hyperlink ref="E33" r:id="rId55"/>
    <hyperlink ref="E34" r:id="rId56"/>
    <hyperlink ref="E35" r:id="rId57"/>
    <hyperlink ref="E36" r:id="rId58"/>
    <hyperlink ref="E37" r:id="rId59"/>
    <hyperlink ref="E38" r:id="rId60"/>
    <hyperlink ref="E39" r:id="rId61"/>
    <hyperlink ref="E40" r:id="rId62"/>
    <hyperlink ref="E41" r:id="rId63"/>
    <hyperlink ref="E42" r:id="rId64"/>
    <hyperlink ref="E43" r:id="rId65"/>
    <hyperlink ref="E44" r:id="rId66"/>
    <hyperlink ref="E45" r:id="rId67"/>
    <hyperlink ref="E46" r:id="rId68"/>
    <hyperlink ref="E47" r:id="rId69"/>
    <hyperlink ref="E48" r:id="rId70"/>
    <hyperlink ref="G31" r:id="rId71"/>
    <hyperlink ref="G32" r:id="rId72"/>
    <hyperlink ref="G33" r:id="rId73"/>
    <hyperlink ref="G34" r:id="rId74"/>
    <hyperlink ref="G35" r:id="rId75"/>
    <hyperlink ref="G36" r:id="rId76"/>
    <hyperlink ref="G38" r:id="rId77"/>
    <hyperlink ref="G40" r:id="rId78"/>
    <hyperlink ref="G41" r:id="rId79"/>
    <hyperlink ref="G42" r:id="rId80"/>
    <hyperlink ref="G44" r:id="rId81"/>
    <hyperlink ref="G45" r:id="rId82"/>
    <hyperlink ref="G47" r:id="rId83"/>
    <hyperlink ref="G48" r:id="rId84"/>
    <hyperlink ref="I31" r:id="rId85"/>
    <hyperlink ref="I32" r:id="rId86"/>
    <hyperlink ref="I33" r:id="rId87"/>
    <hyperlink ref="I34" r:id="rId88"/>
    <hyperlink ref="I35" r:id="rId89"/>
    <hyperlink ref="I36" r:id="rId90"/>
    <hyperlink ref="I37" r:id="rId91"/>
    <hyperlink ref="I38" r:id="rId92"/>
    <hyperlink ref="I41" r:id="rId93"/>
    <hyperlink ref="I42" r:id="rId94"/>
    <hyperlink ref="I46" r:id="rId95"/>
    <hyperlink ref="I48" r:id="rId96"/>
    <hyperlink ref="K31" r:id="rId97"/>
    <hyperlink ref="K32" r:id="rId98"/>
    <hyperlink ref="K33" r:id="rId99"/>
    <hyperlink ref="K34" r:id="rId100"/>
    <hyperlink ref="K35" r:id="rId101"/>
    <hyperlink ref="K36" r:id="rId102"/>
    <hyperlink ref="K37" r:id="rId103"/>
    <hyperlink ref="K38" r:id="rId104"/>
    <hyperlink ref="K39" r:id="rId105"/>
    <hyperlink ref="K40" r:id="rId106"/>
    <hyperlink ref="K41" r:id="rId107"/>
    <hyperlink ref="K44" r:id="rId108"/>
    <hyperlink ref="K45" r:id="rId109"/>
    <hyperlink ref="K46" r:id="rId110"/>
    <hyperlink ref="K47" r:id="rId111"/>
    <hyperlink ref="K48" r:id="rId112"/>
  </hyperlinks>
  <pageMargins left="0.7" right="0.7" top="0.75" bottom="0.75" header="0.3" footer="0.3"/>
  <pageSetup orientation="portrait" r:id="rId113"/>
  <drawing r:id="rId11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25"/>
  <sheetViews>
    <sheetView showGridLines="0" zoomScale="160" zoomScaleNormal="160" workbookViewId="0"/>
  </sheetViews>
  <sheetFormatPr defaultColWidth="9.140625" defaultRowHeight="12.75" x14ac:dyDescent="0.2"/>
  <cols>
    <col min="1" max="1" width="21.7109375" style="13" bestFit="1" customWidth="1"/>
    <col min="2" max="2" width="7" style="13" bestFit="1" customWidth="1"/>
    <col min="3" max="3" width="7.140625" style="13" bestFit="1" customWidth="1"/>
    <col min="4" max="5" width="7.28515625" style="13" bestFit="1" customWidth="1"/>
    <col min="6" max="6" width="7" style="13" bestFit="1" customWidth="1"/>
    <col min="7" max="7" width="7.140625" style="13" bestFit="1" customWidth="1"/>
    <col min="8" max="9" width="7.28515625" style="13" bestFit="1" customWidth="1"/>
    <col min="10" max="10" width="7" style="13" bestFit="1" customWidth="1"/>
    <col min="11" max="11" width="7.140625" style="13" bestFit="1" customWidth="1"/>
    <col min="12" max="16384" width="9.140625" style="13"/>
  </cols>
  <sheetData>
    <row r="1" spans="1:11" s="7" customFormat="1" ht="18" customHeight="1" x14ac:dyDescent="0.3">
      <c r="A1" s="7" t="str">
        <f>'Data Sheet'!B1</f>
        <v>AVANTI FEEDS LTD</v>
      </c>
      <c r="E1" s="8" t="str">
        <f>UPDATE</f>
        <v/>
      </c>
      <c r="K1" s="15"/>
    </row>
    <row r="2" spans="1:11" ht="17.25" customHeight="1" x14ac:dyDescent="0.3">
      <c r="A2" s="15" t="s">
        <v>1</v>
      </c>
    </row>
    <row r="3" spans="1:11" s="10" customFormat="1" ht="12.95" x14ac:dyDescent="0.3">
      <c r="A3" s="32" t="s">
        <v>2</v>
      </c>
      <c r="B3" s="33">
        <f>'Data Sheet'!B41</f>
        <v>43190</v>
      </c>
      <c r="C3" s="33">
        <f>'Data Sheet'!C41</f>
        <v>43281</v>
      </c>
      <c r="D3" s="33">
        <f>'Data Sheet'!D41</f>
        <v>43373</v>
      </c>
      <c r="E3" s="33">
        <f>'Data Sheet'!E41</f>
        <v>43465</v>
      </c>
      <c r="F3" s="33">
        <f>'Data Sheet'!F41</f>
        <v>43555</v>
      </c>
      <c r="G3" s="33">
        <f>'Data Sheet'!G41</f>
        <v>43646</v>
      </c>
      <c r="H3" s="33">
        <f>'Data Sheet'!H41</f>
        <v>43738</v>
      </c>
      <c r="I3" s="33">
        <f>'Data Sheet'!I41</f>
        <v>43830</v>
      </c>
      <c r="J3" s="33">
        <f>'Data Sheet'!J41</f>
        <v>43921</v>
      </c>
      <c r="K3" s="34">
        <f>'Data Sheet'!K41</f>
        <v>44012</v>
      </c>
    </row>
    <row r="4" spans="1:11" s="7" customFormat="1" ht="12.95" x14ac:dyDescent="0.3">
      <c r="A4" s="35" t="s">
        <v>4</v>
      </c>
      <c r="B4" s="30">
        <f>'Data Sheet'!B42</f>
        <v>834.28</v>
      </c>
      <c r="C4" s="30">
        <f>'Data Sheet'!C42</f>
        <v>1040.24</v>
      </c>
      <c r="D4" s="30">
        <f>'Data Sheet'!D42</f>
        <v>754.54</v>
      </c>
      <c r="E4" s="30">
        <f>'Data Sheet'!E42</f>
        <v>835.32</v>
      </c>
      <c r="F4" s="30">
        <f>'Data Sheet'!F42</f>
        <v>857.68</v>
      </c>
      <c r="G4" s="30">
        <f>'Data Sheet'!G42</f>
        <v>1093.49</v>
      </c>
      <c r="H4" s="30">
        <f>'Data Sheet'!H42</f>
        <v>1064.3</v>
      </c>
      <c r="I4" s="30">
        <f>'Data Sheet'!I42</f>
        <v>922.69</v>
      </c>
      <c r="J4" s="30">
        <f>'Data Sheet'!J42</f>
        <v>1034.81</v>
      </c>
      <c r="K4" s="36">
        <f>'Data Sheet'!K42</f>
        <v>955.4</v>
      </c>
    </row>
    <row r="5" spans="1:11" s="12" customFormat="1" ht="12.95" x14ac:dyDescent="0.3">
      <c r="A5" s="37" t="s">
        <v>80</v>
      </c>
      <c r="B5" s="38"/>
      <c r="C5" s="38"/>
      <c r="D5" s="38"/>
      <c r="E5" s="38"/>
      <c r="F5" s="29">
        <f>F4/B4-1</f>
        <v>2.8048137316009081E-2</v>
      </c>
      <c r="G5" s="29">
        <f t="shared" ref="G5:K5" si="0">G4/C4-1</f>
        <v>5.1190109974621256E-2</v>
      </c>
      <c r="H5" s="29">
        <f t="shared" si="0"/>
        <v>0.41052826887905214</v>
      </c>
      <c r="I5" s="29">
        <f t="shared" si="0"/>
        <v>0.10459464636307048</v>
      </c>
      <c r="J5" s="29">
        <f t="shared" si="0"/>
        <v>0.20652224605913627</v>
      </c>
      <c r="K5" s="39">
        <f t="shared" si="0"/>
        <v>-0.12628373373327606</v>
      </c>
    </row>
    <row r="6" spans="1:11" ht="12.6" x14ac:dyDescent="0.25">
      <c r="A6" s="40" t="s">
        <v>5</v>
      </c>
      <c r="B6" s="21">
        <f>'Data Sheet'!B43</f>
        <v>716.83</v>
      </c>
      <c r="C6" s="21">
        <f>'Data Sheet'!C43</f>
        <v>908.53</v>
      </c>
      <c r="D6" s="21">
        <f>'Data Sheet'!D43</f>
        <v>682.42</v>
      </c>
      <c r="E6" s="21">
        <f>'Data Sheet'!E43</f>
        <v>725.67</v>
      </c>
      <c r="F6" s="21">
        <f>'Data Sheet'!F43</f>
        <v>764.46</v>
      </c>
      <c r="G6" s="21">
        <f>'Data Sheet'!G43</f>
        <v>956.65</v>
      </c>
      <c r="H6" s="21">
        <f>'Data Sheet'!H43</f>
        <v>935.3</v>
      </c>
      <c r="I6" s="21">
        <f>'Data Sheet'!I43</f>
        <v>859.43</v>
      </c>
      <c r="J6" s="21">
        <f>'Data Sheet'!J43</f>
        <v>910.17</v>
      </c>
      <c r="K6" s="41">
        <f>'Data Sheet'!K43</f>
        <v>826.31</v>
      </c>
    </row>
    <row r="7" spans="1:11" s="7" customFormat="1" ht="12.95" x14ac:dyDescent="0.3">
      <c r="A7" s="35" t="s">
        <v>6</v>
      </c>
      <c r="B7" s="30">
        <f>'Data Sheet'!B50</f>
        <v>117.45</v>
      </c>
      <c r="C7" s="30">
        <f>'Data Sheet'!C50</f>
        <v>131.71</v>
      </c>
      <c r="D7" s="30">
        <f>'Data Sheet'!D50</f>
        <v>72.12</v>
      </c>
      <c r="E7" s="30">
        <f>'Data Sheet'!E50</f>
        <v>109.65</v>
      </c>
      <c r="F7" s="30">
        <f>'Data Sheet'!F50</f>
        <v>93.22</v>
      </c>
      <c r="G7" s="30">
        <f>'Data Sheet'!G50</f>
        <v>136.84</v>
      </c>
      <c r="H7" s="30">
        <f>'Data Sheet'!H50</f>
        <v>129</v>
      </c>
      <c r="I7" s="30">
        <f>'Data Sheet'!I50</f>
        <v>63.26</v>
      </c>
      <c r="J7" s="30">
        <f>'Data Sheet'!J50</f>
        <v>124.64</v>
      </c>
      <c r="K7" s="36">
        <f>'Data Sheet'!K50</f>
        <v>129.09</v>
      </c>
    </row>
    <row r="8" spans="1:11" ht="12.6" x14ac:dyDescent="0.25">
      <c r="A8" s="40" t="s">
        <v>7</v>
      </c>
      <c r="B8" s="21">
        <f>'Data Sheet'!B44</f>
        <v>14.94</v>
      </c>
      <c r="C8" s="21">
        <f>'Data Sheet'!C44</f>
        <v>13.95</v>
      </c>
      <c r="D8" s="21">
        <f>'Data Sheet'!D44</f>
        <v>12.27</v>
      </c>
      <c r="E8" s="21">
        <f>'Data Sheet'!E44</f>
        <v>14.12</v>
      </c>
      <c r="F8" s="21">
        <f>'Data Sheet'!F44</f>
        <v>19.47</v>
      </c>
      <c r="G8" s="21">
        <f>'Data Sheet'!G44</f>
        <v>18.059999999999999</v>
      </c>
      <c r="H8" s="21">
        <f>'Data Sheet'!H44</f>
        <v>21.52</v>
      </c>
      <c r="I8" s="21">
        <f>'Data Sheet'!I44</f>
        <v>19.600000000000001</v>
      </c>
      <c r="J8" s="21">
        <f>'Data Sheet'!J44</f>
        <v>11.63</v>
      </c>
      <c r="K8" s="41">
        <f>'Data Sheet'!K44</f>
        <v>27.61</v>
      </c>
    </row>
    <row r="9" spans="1:11" ht="12.6" x14ac:dyDescent="0.25">
      <c r="A9" s="40" t="s">
        <v>8</v>
      </c>
      <c r="B9" s="21">
        <f>'Data Sheet'!B45</f>
        <v>7.74</v>
      </c>
      <c r="C9" s="21">
        <f>'Data Sheet'!C45</f>
        <v>8.74</v>
      </c>
      <c r="D9" s="21">
        <f>'Data Sheet'!D45</f>
        <v>9.02</v>
      </c>
      <c r="E9" s="21">
        <f>'Data Sheet'!E45</f>
        <v>9.0299999999999994</v>
      </c>
      <c r="F9" s="21">
        <f>'Data Sheet'!F45</f>
        <v>9.0500000000000007</v>
      </c>
      <c r="G9" s="21">
        <f>'Data Sheet'!G45</f>
        <v>9.23</v>
      </c>
      <c r="H9" s="21">
        <f>'Data Sheet'!H45</f>
        <v>9.75</v>
      </c>
      <c r="I9" s="21">
        <f>'Data Sheet'!I45</f>
        <v>9.1300000000000008</v>
      </c>
      <c r="J9" s="21">
        <f>'Data Sheet'!J45</f>
        <v>9.6</v>
      </c>
      <c r="K9" s="41">
        <f>'Data Sheet'!K45</f>
        <v>9.43</v>
      </c>
    </row>
    <row r="10" spans="1:11" ht="12.6" x14ac:dyDescent="0.25">
      <c r="A10" s="40" t="s">
        <v>9</v>
      </c>
      <c r="B10" s="21">
        <f>'Data Sheet'!B46</f>
        <v>0.21</v>
      </c>
      <c r="C10" s="21">
        <f>'Data Sheet'!C46</f>
        <v>0.37</v>
      </c>
      <c r="D10" s="21">
        <f>'Data Sheet'!D46</f>
        <v>0.61</v>
      </c>
      <c r="E10" s="21">
        <f>'Data Sheet'!E46</f>
        <v>0.54</v>
      </c>
      <c r="F10" s="21">
        <f>'Data Sheet'!F46</f>
        <v>1.1000000000000001</v>
      </c>
      <c r="G10" s="21">
        <f>'Data Sheet'!G46</f>
        <v>0.4</v>
      </c>
      <c r="H10" s="21">
        <f>'Data Sheet'!H46</f>
        <v>0.23</v>
      </c>
      <c r="I10" s="21">
        <f>'Data Sheet'!I46</f>
        <v>0.68</v>
      </c>
      <c r="J10" s="21">
        <f>'Data Sheet'!J46</f>
        <v>0.68</v>
      </c>
      <c r="K10" s="41">
        <f>'Data Sheet'!K46</f>
        <v>0.26</v>
      </c>
    </row>
    <row r="11" spans="1:11" ht="12.6" x14ac:dyDescent="0.25">
      <c r="A11" s="40" t="s">
        <v>10</v>
      </c>
      <c r="B11" s="21">
        <f>'Data Sheet'!B47</f>
        <v>124.44</v>
      </c>
      <c r="C11" s="21">
        <f>'Data Sheet'!C47</f>
        <v>136.55000000000001</v>
      </c>
      <c r="D11" s="21">
        <f>'Data Sheet'!D47</f>
        <v>74.760000000000005</v>
      </c>
      <c r="E11" s="21">
        <f>'Data Sheet'!E47</f>
        <v>114.2</v>
      </c>
      <c r="F11" s="21">
        <f>'Data Sheet'!F47</f>
        <v>102.54</v>
      </c>
      <c r="G11" s="21">
        <f>'Data Sheet'!G47</f>
        <v>145.27000000000001</v>
      </c>
      <c r="H11" s="21">
        <f>'Data Sheet'!H47</f>
        <v>140.54</v>
      </c>
      <c r="I11" s="21">
        <f>'Data Sheet'!I47</f>
        <v>73.05</v>
      </c>
      <c r="J11" s="21">
        <f>'Data Sheet'!J47</f>
        <v>125.99</v>
      </c>
      <c r="K11" s="41">
        <f>'Data Sheet'!K47</f>
        <v>147.01</v>
      </c>
    </row>
    <row r="12" spans="1:11" ht="12.95" x14ac:dyDescent="0.3">
      <c r="A12" s="37" t="s">
        <v>84</v>
      </c>
      <c r="B12" s="29">
        <f>B11/B4</f>
        <v>0.14915855588051974</v>
      </c>
      <c r="C12" s="29">
        <f t="shared" ref="C12:K12" si="1">C11/C4</f>
        <v>0.13126778435745598</v>
      </c>
      <c r="D12" s="29">
        <f t="shared" si="1"/>
        <v>9.9080234314946863E-2</v>
      </c>
      <c r="E12" s="29">
        <f t="shared" si="1"/>
        <v>0.13671407364842217</v>
      </c>
      <c r="F12" s="29">
        <f t="shared" si="1"/>
        <v>0.11955507881727452</v>
      </c>
      <c r="G12" s="29">
        <f t="shared" si="1"/>
        <v>0.13284986602529517</v>
      </c>
      <c r="H12" s="29">
        <f t="shared" si="1"/>
        <v>0.1320492342384666</v>
      </c>
      <c r="I12" s="29">
        <f t="shared" si="1"/>
        <v>7.9170685712427788E-2</v>
      </c>
      <c r="J12" s="29">
        <f t="shared" si="1"/>
        <v>0.12175181917453445</v>
      </c>
      <c r="K12" s="39">
        <f t="shared" si="1"/>
        <v>0.15387272346661085</v>
      </c>
    </row>
    <row r="13" spans="1:11" s="12" customFormat="1" ht="12.95" x14ac:dyDescent="0.3">
      <c r="A13" s="37" t="s">
        <v>80</v>
      </c>
      <c r="B13" s="38"/>
      <c r="C13" s="38"/>
      <c r="D13" s="38"/>
      <c r="E13" s="38"/>
      <c r="F13" s="29">
        <f>F11/B11-1</f>
        <v>-0.17598842815814841</v>
      </c>
      <c r="G13" s="29">
        <f>G11/C11-1</f>
        <v>6.3859392164042461E-2</v>
      </c>
      <c r="H13" s="29">
        <f>H11/D11-1</f>
        <v>0.87988228999464924</v>
      </c>
      <c r="I13" s="29">
        <f>I11/E11-1</f>
        <v>-0.36033274956217165</v>
      </c>
      <c r="J13" s="29">
        <f>J11/F11-1</f>
        <v>0.22869124244197381</v>
      </c>
      <c r="K13" s="39">
        <f t="shared" ref="K13" si="2">K11/G11-1</f>
        <v>1.1977696702691443E-2</v>
      </c>
    </row>
    <row r="14" spans="1:11" ht="12.6" x14ac:dyDescent="0.25">
      <c r="A14" s="40" t="s">
        <v>11</v>
      </c>
      <c r="B14" s="21">
        <f>'Data Sheet'!B48</f>
        <v>38.44</v>
      </c>
      <c r="C14" s="21">
        <f>'Data Sheet'!C48</f>
        <v>46.56</v>
      </c>
      <c r="D14" s="21">
        <f>'Data Sheet'!D48</f>
        <v>19.66</v>
      </c>
      <c r="E14" s="21">
        <f>'Data Sheet'!E48</f>
        <v>28.87</v>
      </c>
      <c r="F14" s="21">
        <f>'Data Sheet'!F48</f>
        <v>26.34</v>
      </c>
      <c r="G14" s="21">
        <f>'Data Sheet'!G48</f>
        <v>43.81</v>
      </c>
      <c r="H14" s="21">
        <f>'Data Sheet'!H48</f>
        <v>13.28</v>
      </c>
      <c r="I14" s="21">
        <f>'Data Sheet'!I48</f>
        <v>14.2</v>
      </c>
      <c r="J14" s="21">
        <f>'Data Sheet'!J48</f>
        <v>27.28</v>
      </c>
      <c r="K14" s="41">
        <f>'Data Sheet'!K48</f>
        <v>31.02</v>
      </c>
    </row>
    <row r="15" spans="1:11" s="7" customFormat="1" x14ac:dyDescent="0.2">
      <c r="A15" s="35" t="s">
        <v>12</v>
      </c>
      <c r="B15" s="30">
        <f>'Data Sheet'!B49</f>
        <v>82.93</v>
      </c>
      <c r="C15" s="30">
        <f>'Data Sheet'!C49</f>
        <v>85.67</v>
      </c>
      <c r="D15" s="30">
        <f>'Data Sheet'!D49</f>
        <v>46.4</v>
      </c>
      <c r="E15" s="30">
        <f>'Data Sheet'!E49</f>
        <v>73.569999999999993</v>
      </c>
      <c r="F15" s="30">
        <f>'Data Sheet'!F49</f>
        <v>67.989999999999995</v>
      </c>
      <c r="G15" s="30">
        <f>'Data Sheet'!G49</f>
        <v>92.96</v>
      </c>
      <c r="H15" s="30">
        <f>'Data Sheet'!H49</f>
        <v>118.7</v>
      </c>
      <c r="I15" s="30">
        <f>'Data Sheet'!I49</f>
        <v>47.85</v>
      </c>
      <c r="J15" s="30">
        <f>'Data Sheet'!J49</f>
        <v>86.98</v>
      </c>
      <c r="K15" s="36">
        <f>'Data Sheet'!K49</f>
        <v>104.1</v>
      </c>
    </row>
    <row r="16" spans="1:11" s="12" customFormat="1" x14ac:dyDescent="0.2">
      <c r="A16" s="37" t="s">
        <v>80</v>
      </c>
      <c r="B16" s="38"/>
      <c r="C16" s="38"/>
      <c r="D16" s="38"/>
      <c r="E16" s="38"/>
      <c r="F16" s="29">
        <f>F15/B15-1</f>
        <v>-0.18015193536717722</v>
      </c>
      <c r="G16" s="29">
        <f t="shared" ref="G16" si="3">G15/C15-1</f>
        <v>8.5093965215361278E-2</v>
      </c>
      <c r="H16" s="29">
        <f t="shared" ref="H16" si="4">H15/D15-1</f>
        <v>1.5581896551724141</v>
      </c>
      <c r="I16" s="29">
        <f t="shared" ref="I16" si="5">I15/E15-1</f>
        <v>-0.34959902134022014</v>
      </c>
      <c r="J16" s="29">
        <f t="shared" ref="J16" si="6">J15/F15-1</f>
        <v>0.2793057802618033</v>
      </c>
      <c r="K16" s="39">
        <f t="shared" ref="K16" si="7">K15/G15-1</f>
        <v>0.11983648881239239</v>
      </c>
    </row>
    <row r="17" spans="1:12" s="7" customFormat="1" x14ac:dyDescent="0.2">
      <c r="A17" s="42" t="s">
        <v>13</v>
      </c>
      <c r="B17" s="43">
        <f t="shared" ref="B17:K17" si="8">IF(B4&gt;0,B7/B4,"")</f>
        <v>0.14078007383612218</v>
      </c>
      <c r="C17" s="43">
        <f t="shared" si="8"/>
        <v>0.12661501192032609</v>
      </c>
      <c r="D17" s="43">
        <f t="shared" si="8"/>
        <v>9.5581413841545851E-2</v>
      </c>
      <c r="E17" s="43">
        <f t="shared" si="8"/>
        <v>0.13126705933055596</v>
      </c>
      <c r="F17" s="43">
        <f t="shared" si="8"/>
        <v>0.10868855517209217</v>
      </c>
      <c r="G17" s="43">
        <f t="shared" si="8"/>
        <v>0.12514060485235348</v>
      </c>
      <c r="H17" s="43">
        <f t="shared" si="8"/>
        <v>0.12120642675937236</v>
      </c>
      <c r="I17" s="43">
        <f t="shared" si="8"/>
        <v>6.8560404903055192E-2</v>
      </c>
      <c r="J17" s="43">
        <f t="shared" si="8"/>
        <v>0.12044723185898862</v>
      </c>
      <c r="K17" s="44">
        <f t="shared" si="8"/>
        <v>0.13511618170399833</v>
      </c>
      <c r="L17" s="12"/>
    </row>
    <row r="25" spans="1:12" s="17" customFormat="1" x14ac:dyDescent="0.2"/>
  </sheetData>
  <hyperlinks>
    <hyperlink ref="A2" r:id="rId1"/>
  </hyperlinks>
  <printOptions gridLines="1"/>
  <pageMargins left="0.7" right="0.7" top="0.75" bottom="0.75" header="0.3" footer="0.3"/>
  <pageSetup paperSize="9" scale="83" orientation="landscape" horizontalDpi="300" verticalDpi="300" r:id="rId2"/>
  <drawing r:id="rId3"/>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zoomScale="200" zoomScaleNormal="200" workbookViewId="0">
      <selection sqref="A1:J1"/>
    </sheetView>
  </sheetViews>
  <sheetFormatPr defaultRowHeight="15" x14ac:dyDescent="0.25"/>
  <sheetData>
    <row r="1" spans="1:19" ht="20.25" thickTop="1" thickBot="1" x14ac:dyDescent="0.35">
      <c r="A1" s="1430" t="s">
        <v>303</v>
      </c>
      <c r="B1" s="1431"/>
      <c r="C1" s="1431"/>
      <c r="D1" s="1431"/>
      <c r="E1" s="1431"/>
      <c r="F1" s="1431"/>
      <c r="G1" s="1431"/>
      <c r="H1" s="1431"/>
      <c r="I1" s="1431"/>
      <c r="J1" s="1432"/>
      <c r="K1" s="268"/>
      <c r="L1" s="268"/>
      <c r="M1" s="268"/>
      <c r="N1" s="268"/>
      <c r="O1" s="268"/>
      <c r="P1" s="268"/>
      <c r="Q1" s="268"/>
      <c r="R1" s="174"/>
    </row>
    <row r="2" spans="1:19" ht="16.5" thickTop="1" thickBot="1" x14ac:dyDescent="0.3">
      <c r="A2" s="269"/>
      <c r="B2" s="270"/>
      <c r="C2" s="270"/>
      <c r="D2" s="270"/>
      <c r="E2" s="270"/>
      <c r="F2" s="270"/>
      <c r="G2" s="270"/>
      <c r="H2" s="270"/>
      <c r="I2" s="270"/>
      <c r="J2" s="271"/>
      <c r="K2" s="174"/>
      <c r="L2" s="174"/>
      <c r="M2" s="174"/>
      <c r="N2" s="174"/>
      <c r="O2" s="174"/>
      <c r="P2" s="174"/>
      <c r="Q2" s="174"/>
      <c r="R2" s="174"/>
    </row>
    <row r="3" spans="1:19" ht="30.75" customHeight="1" thickTop="1" thickBot="1" x14ac:dyDescent="0.3">
      <c r="A3" s="1427" t="s">
        <v>292</v>
      </c>
      <c r="B3" s="1428"/>
      <c r="C3" s="1428"/>
      <c r="D3" s="1428"/>
      <c r="E3" s="1428"/>
      <c r="F3" s="1428"/>
      <c r="G3" s="1428"/>
      <c r="H3" s="1428"/>
      <c r="I3" s="1428"/>
      <c r="J3" s="1429"/>
      <c r="K3" s="267"/>
      <c r="L3" s="267"/>
      <c r="M3" s="267"/>
      <c r="N3" s="267"/>
      <c r="O3" s="267"/>
      <c r="P3" s="267"/>
      <c r="Q3" s="267"/>
      <c r="R3" s="267"/>
      <c r="S3" s="266"/>
    </row>
    <row r="4" spans="1:19" ht="16.5" thickTop="1" thickBot="1" x14ac:dyDescent="0.3">
      <c r="A4" s="1433"/>
      <c r="B4" s="1434"/>
      <c r="C4" s="1434"/>
      <c r="D4" s="1434"/>
      <c r="E4" s="1434"/>
      <c r="F4" s="1434"/>
      <c r="G4" s="1434"/>
      <c r="H4" s="1434"/>
      <c r="I4" s="1434"/>
      <c r="J4" s="1435"/>
      <c r="K4" s="174"/>
      <c r="L4" s="174"/>
      <c r="M4" s="174"/>
      <c r="N4" s="174"/>
      <c r="O4" s="174"/>
      <c r="P4" s="174"/>
      <c r="Q4" s="174"/>
      <c r="R4" s="174"/>
    </row>
    <row r="5" spans="1:19" ht="16.5" thickTop="1" thickBot="1" x14ac:dyDescent="0.3">
      <c r="A5" s="317" t="s">
        <v>293</v>
      </c>
      <c r="B5" s="318"/>
      <c r="C5" s="318"/>
      <c r="D5" s="318"/>
      <c r="E5" s="318"/>
      <c r="F5" s="318"/>
      <c r="G5" s="318"/>
      <c r="H5" s="318"/>
      <c r="I5" s="318"/>
      <c r="J5" s="319"/>
      <c r="K5" s="174"/>
      <c r="L5" s="174"/>
      <c r="M5" s="174"/>
      <c r="N5" s="174"/>
      <c r="O5" s="174"/>
      <c r="P5" s="174"/>
      <c r="Q5" s="174"/>
      <c r="R5" s="174"/>
    </row>
    <row r="6" spans="1:19" ht="16.5" thickTop="1" thickBot="1" x14ac:dyDescent="0.3">
      <c r="A6" s="1436"/>
      <c r="B6" s="1437"/>
      <c r="C6" s="1437"/>
      <c r="D6" s="1437"/>
      <c r="E6" s="1437"/>
      <c r="F6" s="1437"/>
      <c r="G6" s="1437"/>
      <c r="H6" s="1437"/>
      <c r="I6" s="1437"/>
      <c r="J6" s="1438"/>
      <c r="K6" s="174"/>
      <c r="L6" s="174"/>
      <c r="M6" s="174"/>
      <c r="N6" s="174"/>
      <c r="O6" s="174"/>
      <c r="P6" s="174"/>
      <c r="Q6" s="174"/>
      <c r="R6" s="174"/>
    </row>
    <row r="7" spans="1:19" ht="16.5" thickTop="1" thickBot="1" x14ac:dyDescent="0.3">
      <c r="A7" s="317" t="s">
        <v>294</v>
      </c>
      <c r="B7" s="318"/>
      <c r="C7" s="318"/>
      <c r="D7" s="318"/>
      <c r="E7" s="318"/>
      <c r="F7" s="318"/>
      <c r="G7" s="318"/>
      <c r="H7" s="318"/>
      <c r="I7" s="318"/>
      <c r="J7" s="319"/>
      <c r="K7" s="174"/>
      <c r="L7" s="174"/>
      <c r="M7" s="174"/>
      <c r="N7" s="174"/>
      <c r="O7" s="174"/>
      <c r="P7" s="174"/>
      <c r="Q7" s="174"/>
      <c r="R7" s="174"/>
    </row>
    <row r="8" spans="1:19" ht="16.5" thickTop="1" thickBot="1" x14ac:dyDescent="0.3">
      <c r="A8" s="1436"/>
      <c r="B8" s="1437"/>
      <c r="C8" s="1437"/>
      <c r="D8" s="1437"/>
      <c r="E8" s="1437"/>
      <c r="F8" s="1437"/>
      <c r="G8" s="1437"/>
      <c r="H8" s="1437"/>
      <c r="I8" s="1437"/>
      <c r="J8" s="1438"/>
      <c r="K8" s="174"/>
      <c r="L8" s="174"/>
      <c r="M8" s="174"/>
      <c r="N8" s="174"/>
      <c r="O8" s="174"/>
      <c r="P8" s="174"/>
      <c r="Q8" s="174"/>
      <c r="R8" s="174"/>
    </row>
    <row r="9" spans="1:19" ht="31.5" customHeight="1" thickTop="1" thickBot="1" x14ac:dyDescent="0.3">
      <c r="A9" s="1440" t="s">
        <v>295</v>
      </c>
      <c r="B9" s="1441"/>
      <c r="C9" s="1441"/>
      <c r="D9" s="1441"/>
      <c r="E9" s="1441"/>
      <c r="F9" s="1441"/>
      <c r="G9" s="1441"/>
      <c r="H9" s="1441"/>
      <c r="I9" s="1441"/>
      <c r="J9" s="1442"/>
      <c r="K9" s="174"/>
      <c r="L9" s="174"/>
      <c r="M9" s="174"/>
      <c r="N9" s="174"/>
      <c r="O9" s="174"/>
      <c r="P9" s="174"/>
      <c r="Q9" s="174"/>
      <c r="R9" s="174"/>
    </row>
    <row r="10" spans="1:19" ht="16.5" thickTop="1" thickBot="1" x14ac:dyDescent="0.3">
      <c r="A10" s="1436"/>
      <c r="B10" s="1437"/>
      <c r="C10" s="1437"/>
      <c r="D10" s="1437"/>
      <c r="E10" s="1437"/>
      <c r="F10" s="1437"/>
      <c r="G10" s="1437"/>
      <c r="H10" s="1437"/>
      <c r="I10" s="1437"/>
      <c r="J10" s="1438"/>
      <c r="K10" s="174"/>
      <c r="L10" s="174"/>
      <c r="M10" s="174"/>
      <c r="N10" s="174"/>
      <c r="O10" s="174"/>
      <c r="P10" s="174"/>
      <c r="Q10" s="174"/>
      <c r="R10" s="174"/>
    </row>
    <row r="11" spans="1:19" ht="16.5" thickTop="1" thickBot="1" x14ac:dyDescent="0.3">
      <c r="A11" s="320" t="s">
        <v>296</v>
      </c>
      <c r="B11" s="318"/>
      <c r="C11" s="318"/>
      <c r="D11" s="318"/>
      <c r="E11" s="318"/>
      <c r="F11" s="318"/>
      <c r="G11" s="318"/>
      <c r="H11" s="318"/>
      <c r="I11" s="318"/>
      <c r="J11" s="319"/>
      <c r="K11" s="174"/>
      <c r="L11" s="174"/>
      <c r="M11" s="174"/>
      <c r="N11" s="174"/>
      <c r="O11" s="174"/>
      <c r="P11" s="174"/>
      <c r="Q11" s="174"/>
      <c r="R11" s="174"/>
    </row>
    <row r="12" spans="1:19" ht="16.5" thickTop="1" thickBot="1" x14ac:dyDescent="0.3">
      <c r="A12" s="1436"/>
      <c r="B12" s="1437"/>
      <c r="C12" s="1437"/>
      <c r="D12" s="1437"/>
      <c r="E12" s="1437"/>
      <c r="F12" s="1437"/>
      <c r="G12" s="1437"/>
      <c r="H12" s="1437"/>
      <c r="I12" s="1437"/>
      <c r="J12" s="1438"/>
      <c r="K12" s="174"/>
      <c r="L12" s="174"/>
      <c r="M12" s="174"/>
      <c r="N12" s="174"/>
      <c r="O12" s="174"/>
      <c r="P12" s="174"/>
      <c r="Q12" s="174"/>
      <c r="R12" s="174"/>
    </row>
    <row r="13" spans="1:19" ht="16.5" thickTop="1" thickBot="1" x14ac:dyDescent="0.3">
      <c r="A13" s="317" t="s">
        <v>304</v>
      </c>
      <c r="B13" s="318"/>
      <c r="C13" s="318"/>
      <c r="D13" s="318"/>
      <c r="E13" s="318"/>
      <c r="F13" s="318"/>
      <c r="G13" s="318"/>
      <c r="H13" s="318"/>
      <c r="I13" s="318"/>
      <c r="J13" s="319"/>
      <c r="K13" s="174"/>
      <c r="L13" s="174"/>
      <c r="M13" s="174"/>
      <c r="N13" s="174"/>
      <c r="O13" s="174"/>
      <c r="P13" s="174"/>
      <c r="Q13" s="174"/>
      <c r="R13" s="174"/>
    </row>
    <row r="14" spans="1:19" ht="16.5" thickTop="1" thickBot="1" x14ac:dyDescent="0.3">
      <c r="A14" s="1436"/>
      <c r="B14" s="1437"/>
      <c r="C14" s="1437"/>
      <c r="D14" s="1437"/>
      <c r="E14" s="1437"/>
      <c r="F14" s="1437"/>
      <c r="G14" s="1437"/>
      <c r="H14" s="1437"/>
      <c r="I14" s="1437"/>
      <c r="J14" s="1438"/>
      <c r="K14" s="174"/>
      <c r="L14" s="174"/>
      <c r="M14" s="174"/>
      <c r="N14" s="174"/>
      <c r="O14" s="174"/>
      <c r="P14" s="174"/>
      <c r="Q14" s="174"/>
      <c r="R14" s="174"/>
    </row>
    <row r="15" spans="1:19" ht="16.5" thickTop="1" thickBot="1" x14ac:dyDescent="0.3">
      <c r="A15" s="317" t="s">
        <v>305</v>
      </c>
      <c r="B15" s="318"/>
      <c r="C15" s="318"/>
      <c r="D15" s="318"/>
      <c r="E15" s="318"/>
      <c r="F15" s="318"/>
      <c r="G15" s="318"/>
      <c r="H15" s="318"/>
      <c r="I15" s="318"/>
      <c r="J15" s="319"/>
      <c r="K15" s="174"/>
      <c r="L15" s="174"/>
      <c r="M15" s="174"/>
      <c r="N15" s="174"/>
      <c r="O15" s="174"/>
      <c r="P15" s="174"/>
      <c r="Q15" s="174"/>
      <c r="R15" s="174"/>
    </row>
    <row r="16" spans="1:19" ht="16.5" thickTop="1" thickBot="1" x14ac:dyDescent="0.3">
      <c r="A16" s="1443"/>
      <c r="B16" s="1444"/>
      <c r="C16" s="1444"/>
      <c r="D16" s="1444"/>
      <c r="E16" s="1444"/>
      <c r="F16" s="1444"/>
      <c r="G16" s="1444"/>
      <c r="H16" s="1444"/>
      <c r="I16" s="1444"/>
      <c r="J16" s="1445"/>
      <c r="K16" s="174"/>
      <c r="L16" s="174"/>
      <c r="M16" s="174"/>
      <c r="N16" s="174"/>
      <c r="O16" s="174"/>
      <c r="P16" s="174"/>
      <c r="Q16" s="174"/>
      <c r="R16" s="174"/>
    </row>
    <row r="17" spans="1:18" ht="16.5" thickTop="1" thickBot="1" x14ac:dyDescent="0.3">
      <c r="A17" s="317" t="s">
        <v>297</v>
      </c>
      <c r="B17" s="318"/>
      <c r="C17" s="318"/>
      <c r="D17" s="318"/>
      <c r="E17" s="318"/>
      <c r="F17" s="318"/>
      <c r="G17" s="318"/>
      <c r="H17" s="318"/>
      <c r="I17" s="318"/>
      <c r="J17" s="319"/>
      <c r="K17" s="174"/>
      <c r="L17" s="174"/>
      <c r="M17" s="174"/>
      <c r="N17" s="174"/>
      <c r="O17" s="174"/>
      <c r="P17" s="174"/>
      <c r="Q17" s="174"/>
      <c r="R17" s="174"/>
    </row>
    <row r="18" spans="1:18" ht="16.5" thickTop="1" thickBot="1" x14ac:dyDescent="0.3">
      <c r="A18" s="1443"/>
      <c r="B18" s="1444"/>
      <c r="C18" s="1444"/>
      <c r="D18" s="1444"/>
      <c r="E18" s="1444"/>
      <c r="F18" s="1444"/>
      <c r="G18" s="1444"/>
      <c r="H18" s="1444"/>
      <c r="I18" s="1444"/>
      <c r="J18" s="1445"/>
      <c r="K18" s="174"/>
      <c r="L18" s="174"/>
      <c r="M18" s="174"/>
      <c r="N18" s="174"/>
      <c r="O18" s="174"/>
      <c r="P18" s="174"/>
      <c r="Q18" s="174"/>
      <c r="R18" s="174"/>
    </row>
    <row r="19" spans="1:18" ht="16.5" thickTop="1" thickBot="1" x14ac:dyDescent="0.3">
      <c r="A19" s="317" t="s">
        <v>298</v>
      </c>
      <c r="B19" s="318"/>
      <c r="C19" s="318"/>
      <c r="D19" s="318"/>
      <c r="E19" s="318"/>
      <c r="F19" s="318"/>
      <c r="G19" s="318"/>
      <c r="H19" s="318"/>
      <c r="I19" s="318"/>
      <c r="J19" s="319"/>
      <c r="K19" s="174"/>
      <c r="L19" s="174"/>
      <c r="M19" s="174"/>
      <c r="N19" s="174"/>
      <c r="O19" s="174"/>
      <c r="P19" s="174"/>
      <c r="Q19" s="174"/>
      <c r="R19" s="174"/>
    </row>
    <row r="20" spans="1:18" ht="16.5" thickTop="1" thickBot="1" x14ac:dyDescent="0.3">
      <c r="A20" s="1436"/>
      <c r="B20" s="1437"/>
      <c r="C20" s="1437"/>
      <c r="D20" s="1437"/>
      <c r="E20" s="1437"/>
      <c r="F20" s="1437"/>
      <c r="G20" s="1437"/>
      <c r="H20" s="1437"/>
      <c r="I20" s="1437"/>
      <c r="J20" s="1438"/>
      <c r="K20" s="174"/>
      <c r="L20" s="174"/>
      <c r="M20" s="174"/>
      <c r="N20" s="174"/>
      <c r="O20" s="174"/>
      <c r="P20" s="174"/>
      <c r="Q20" s="174"/>
      <c r="R20" s="174"/>
    </row>
    <row r="21" spans="1:18" ht="16.5" thickTop="1" thickBot="1" x14ac:dyDescent="0.3">
      <c r="A21" s="317" t="s">
        <v>320</v>
      </c>
      <c r="B21" s="318"/>
      <c r="C21" s="318"/>
      <c r="D21" s="318"/>
      <c r="E21" s="318"/>
      <c r="F21" s="318"/>
      <c r="G21" s="318"/>
      <c r="H21" s="318"/>
      <c r="I21" s="318"/>
      <c r="J21" s="319"/>
      <c r="K21" s="174"/>
      <c r="L21" s="174"/>
      <c r="M21" s="174"/>
      <c r="N21" s="174"/>
      <c r="O21" s="174"/>
      <c r="P21" s="174"/>
      <c r="Q21" s="174"/>
      <c r="R21" s="174"/>
    </row>
    <row r="22" spans="1:18" ht="16.5" thickTop="1" thickBot="1" x14ac:dyDescent="0.3">
      <c r="A22" s="1436"/>
      <c r="B22" s="1437"/>
      <c r="C22" s="1437"/>
      <c r="D22" s="1437"/>
      <c r="E22" s="1437"/>
      <c r="F22" s="1437"/>
      <c r="G22" s="1437"/>
      <c r="H22" s="1437"/>
      <c r="I22" s="1437"/>
      <c r="J22" s="1438"/>
      <c r="K22" s="174"/>
      <c r="L22" s="174"/>
      <c r="M22" s="174"/>
      <c r="N22" s="174"/>
      <c r="O22" s="174"/>
      <c r="P22" s="174"/>
      <c r="Q22" s="174"/>
      <c r="R22" s="174"/>
    </row>
    <row r="23" spans="1:18" ht="16.5" thickTop="1" thickBot="1" x14ac:dyDescent="0.3">
      <c r="A23" s="317" t="s">
        <v>299</v>
      </c>
      <c r="B23" s="318"/>
      <c r="C23" s="318"/>
      <c r="D23" s="318"/>
      <c r="E23" s="318"/>
      <c r="F23" s="318"/>
      <c r="G23" s="318"/>
      <c r="H23" s="318"/>
      <c r="I23" s="318"/>
      <c r="J23" s="319"/>
      <c r="K23" s="174"/>
      <c r="L23" s="174"/>
      <c r="M23" s="174"/>
      <c r="N23" s="174"/>
      <c r="O23" s="174"/>
      <c r="P23" s="174"/>
      <c r="Q23" s="174"/>
      <c r="R23" s="174"/>
    </row>
    <row r="24" spans="1:18" ht="16.5" thickTop="1" thickBot="1" x14ac:dyDescent="0.3">
      <c r="A24" s="1436"/>
      <c r="B24" s="1437"/>
      <c r="C24" s="1437"/>
      <c r="D24" s="1437"/>
      <c r="E24" s="1437"/>
      <c r="F24" s="1437"/>
      <c r="G24" s="1437"/>
      <c r="H24" s="1437"/>
      <c r="I24" s="1437"/>
      <c r="J24" s="1438"/>
      <c r="K24" s="174"/>
      <c r="L24" s="174"/>
      <c r="M24" s="174"/>
      <c r="N24" s="174"/>
      <c r="O24" s="174"/>
      <c r="P24" s="174"/>
      <c r="Q24" s="174"/>
      <c r="R24" s="174"/>
    </row>
    <row r="25" spans="1:18" ht="16.5" thickTop="1" thickBot="1" x14ac:dyDescent="0.3">
      <c r="A25" s="317" t="s">
        <v>306</v>
      </c>
      <c r="B25" s="318"/>
      <c r="C25" s="318"/>
      <c r="D25" s="318"/>
      <c r="E25" s="318"/>
      <c r="F25" s="318"/>
      <c r="G25" s="318"/>
      <c r="H25" s="318"/>
      <c r="I25" s="318"/>
      <c r="J25" s="319"/>
      <c r="K25" s="174"/>
      <c r="L25" s="174"/>
      <c r="M25" s="174"/>
      <c r="N25" s="174"/>
      <c r="O25" s="174"/>
      <c r="P25" s="174"/>
      <c r="Q25" s="174"/>
      <c r="R25" s="174"/>
    </row>
    <row r="26" spans="1:18" ht="16.5" thickTop="1" thickBot="1" x14ac:dyDescent="0.3">
      <c r="A26" s="1436"/>
      <c r="B26" s="1437"/>
      <c r="C26" s="1437"/>
      <c r="D26" s="1437"/>
      <c r="E26" s="1437"/>
      <c r="F26" s="1437"/>
      <c r="G26" s="1437"/>
      <c r="H26" s="1437"/>
      <c r="I26" s="1437"/>
      <c r="J26" s="1438"/>
      <c r="K26" s="174"/>
      <c r="L26" s="174"/>
      <c r="M26" s="174"/>
      <c r="N26" s="174"/>
      <c r="O26" s="174"/>
      <c r="P26" s="174"/>
      <c r="Q26" s="174"/>
      <c r="R26" s="174"/>
    </row>
    <row r="27" spans="1:18" ht="16.5" thickTop="1" thickBot="1" x14ac:dyDescent="0.3">
      <c r="A27" s="317" t="s">
        <v>300</v>
      </c>
      <c r="B27" s="318"/>
      <c r="C27" s="318"/>
      <c r="D27" s="318"/>
      <c r="E27" s="318"/>
      <c r="F27" s="318"/>
      <c r="G27" s="318"/>
      <c r="H27" s="318"/>
      <c r="I27" s="318"/>
      <c r="J27" s="319"/>
      <c r="K27" s="174"/>
      <c r="L27" s="174"/>
      <c r="M27" s="174"/>
      <c r="N27" s="174"/>
      <c r="O27" s="174"/>
      <c r="P27" s="174"/>
      <c r="Q27" s="174"/>
      <c r="R27" s="174"/>
    </row>
    <row r="28" spans="1:18" ht="16.5" thickTop="1" thickBot="1" x14ac:dyDescent="0.3">
      <c r="A28" s="1436"/>
      <c r="B28" s="1437"/>
      <c r="C28" s="1437"/>
      <c r="D28" s="1437"/>
      <c r="E28" s="1437"/>
      <c r="F28" s="1437"/>
      <c r="G28" s="1437"/>
      <c r="H28" s="1437"/>
      <c r="I28" s="1437"/>
      <c r="J28" s="1438"/>
      <c r="K28" s="174"/>
      <c r="L28" s="174"/>
      <c r="M28" s="174"/>
      <c r="N28" s="174"/>
      <c r="O28" s="174"/>
      <c r="P28" s="174"/>
      <c r="Q28" s="174"/>
      <c r="R28" s="174"/>
    </row>
    <row r="29" spans="1:18" ht="30.75" customHeight="1" thickTop="1" thickBot="1" x14ac:dyDescent="0.3">
      <c r="A29" s="1440" t="s">
        <v>321</v>
      </c>
      <c r="B29" s="1441"/>
      <c r="C29" s="1441"/>
      <c r="D29" s="1441"/>
      <c r="E29" s="1441"/>
      <c r="F29" s="1441"/>
      <c r="G29" s="1441"/>
      <c r="H29" s="1441"/>
      <c r="I29" s="1441"/>
      <c r="J29" s="1442"/>
      <c r="K29" s="174"/>
      <c r="L29" s="174"/>
      <c r="M29" s="174"/>
      <c r="N29" s="174"/>
      <c r="O29" s="174"/>
      <c r="P29" s="174"/>
      <c r="Q29" s="174"/>
      <c r="R29" s="174"/>
    </row>
    <row r="30" spans="1:18" ht="16.5" thickTop="1" thickBot="1" x14ac:dyDescent="0.3">
      <c r="A30" s="1436"/>
      <c r="B30" s="1437"/>
      <c r="C30" s="1437"/>
      <c r="D30" s="1437"/>
      <c r="E30" s="1437"/>
      <c r="F30" s="1437"/>
      <c r="G30" s="1437"/>
      <c r="H30" s="1437"/>
      <c r="I30" s="1437"/>
      <c r="J30" s="1438"/>
      <c r="K30" s="174"/>
      <c r="L30" s="174"/>
      <c r="M30" s="174"/>
      <c r="N30" s="174"/>
      <c r="O30" s="174"/>
      <c r="P30" s="174"/>
      <c r="Q30" s="174"/>
      <c r="R30" s="174"/>
    </row>
    <row r="31" spans="1:18" ht="16.5" thickTop="1" thickBot="1" x14ac:dyDescent="0.3">
      <c r="A31" s="321" t="s">
        <v>301</v>
      </c>
      <c r="B31" s="318"/>
      <c r="C31" s="318"/>
      <c r="D31" s="318"/>
      <c r="E31" s="318"/>
      <c r="F31" s="318"/>
      <c r="G31" s="318"/>
      <c r="H31" s="318"/>
      <c r="I31" s="318"/>
      <c r="J31" s="319"/>
      <c r="K31" s="174"/>
      <c r="L31" s="174"/>
      <c r="M31" s="174"/>
      <c r="N31" s="174"/>
      <c r="O31" s="174"/>
      <c r="P31" s="174"/>
      <c r="Q31" s="174"/>
      <c r="R31" s="174"/>
    </row>
    <row r="32" spans="1:18" ht="16.5" thickTop="1" thickBot="1" x14ac:dyDescent="0.3">
      <c r="A32" s="1436"/>
      <c r="B32" s="1437"/>
      <c r="C32" s="1437"/>
      <c r="D32" s="1437"/>
      <c r="E32" s="1437"/>
      <c r="F32" s="1437"/>
      <c r="G32" s="1437"/>
      <c r="H32" s="1437"/>
      <c r="I32" s="1437"/>
      <c r="J32" s="1438"/>
      <c r="K32" s="174"/>
      <c r="L32" s="174"/>
      <c r="M32" s="174"/>
      <c r="N32" s="174"/>
      <c r="O32" s="174"/>
      <c r="P32" s="174"/>
      <c r="Q32" s="174"/>
      <c r="R32" s="174"/>
    </row>
    <row r="33" spans="1:18" ht="16.5" thickTop="1" thickBot="1" x14ac:dyDescent="0.3">
      <c r="A33" s="322" t="s">
        <v>302</v>
      </c>
      <c r="B33" s="323"/>
      <c r="C33" s="323"/>
      <c r="D33" s="323"/>
      <c r="E33" s="323"/>
      <c r="F33" s="323"/>
      <c r="G33" s="323"/>
      <c r="H33" s="323"/>
      <c r="I33" s="323"/>
      <c r="J33" s="324"/>
      <c r="K33" s="174"/>
      <c r="L33" s="174"/>
      <c r="M33" s="174"/>
      <c r="N33" s="174"/>
      <c r="O33" s="174"/>
      <c r="P33" s="174"/>
      <c r="Q33" s="174"/>
      <c r="R33" s="174"/>
    </row>
    <row r="34" spans="1:18" ht="15.75" thickTop="1" x14ac:dyDescent="0.25">
      <c r="A34" s="1439"/>
      <c r="B34" s="1439"/>
      <c r="C34" s="1439"/>
      <c r="D34" s="1439"/>
      <c r="E34" s="1439"/>
      <c r="F34" s="1439"/>
      <c r="G34" s="1439"/>
      <c r="H34" s="1439"/>
      <c r="I34" s="1439"/>
      <c r="J34" s="1439"/>
      <c r="K34" s="174"/>
      <c r="L34" s="174"/>
      <c r="M34" s="174"/>
      <c r="N34" s="174"/>
      <c r="O34" s="174"/>
      <c r="P34" s="174"/>
      <c r="Q34" s="174"/>
      <c r="R34" s="174"/>
    </row>
    <row r="35" spans="1:18" x14ac:dyDescent="0.25">
      <c r="K35" s="174"/>
      <c r="L35" s="174"/>
      <c r="M35" s="174"/>
      <c r="N35" s="174"/>
      <c r="O35" s="174"/>
      <c r="P35" s="174"/>
      <c r="Q35" s="174"/>
      <c r="R35" s="174"/>
    </row>
    <row r="36" spans="1:18" x14ac:dyDescent="0.25">
      <c r="K36" s="174"/>
      <c r="L36" s="174"/>
      <c r="M36" s="174"/>
      <c r="N36" s="174"/>
      <c r="O36" s="174"/>
      <c r="P36" s="174"/>
      <c r="Q36" s="174"/>
      <c r="R36" s="174"/>
    </row>
    <row r="37" spans="1:18" x14ac:dyDescent="0.25">
      <c r="K37" s="174"/>
      <c r="L37" s="174"/>
      <c r="M37" s="174"/>
      <c r="N37" s="174"/>
      <c r="O37" s="174"/>
      <c r="P37" s="174"/>
      <c r="Q37" s="174"/>
      <c r="R37" s="174"/>
    </row>
    <row r="38" spans="1:18" x14ac:dyDescent="0.25">
      <c r="K38" s="174"/>
      <c r="L38" s="174"/>
      <c r="M38" s="174"/>
      <c r="N38" s="174"/>
      <c r="O38" s="174"/>
      <c r="P38" s="174"/>
      <c r="Q38" s="174"/>
      <c r="R38" s="174"/>
    </row>
    <row r="39" spans="1:18" x14ac:dyDescent="0.25">
      <c r="K39" s="174"/>
      <c r="L39" s="174"/>
      <c r="M39" s="174"/>
      <c r="N39" s="174"/>
      <c r="O39" s="174"/>
      <c r="P39" s="174"/>
      <c r="Q39" s="174"/>
      <c r="R39" s="174"/>
    </row>
    <row r="40" spans="1:18" x14ac:dyDescent="0.25">
      <c r="K40" s="174"/>
      <c r="L40" s="174"/>
      <c r="M40" s="174"/>
      <c r="N40" s="174"/>
      <c r="O40" s="174"/>
      <c r="P40" s="174"/>
      <c r="Q40" s="174"/>
      <c r="R40" s="174"/>
    </row>
    <row r="41" spans="1:18" x14ac:dyDescent="0.25">
      <c r="K41" s="174"/>
      <c r="L41" s="174"/>
      <c r="M41" s="174"/>
      <c r="N41" s="174"/>
      <c r="O41" s="174"/>
      <c r="P41" s="174"/>
      <c r="Q41" s="174"/>
      <c r="R41" s="174"/>
    </row>
    <row r="42" spans="1:18" x14ac:dyDescent="0.25">
      <c r="K42" s="174"/>
      <c r="L42" s="174"/>
      <c r="M42" s="174"/>
      <c r="N42" s="174"/>
      <c r="O42" s="174"/>
      <c r="P42" s="174"/>
      <c r="Q42" s="174"/>
      <c r="R42" s="174"/>
    </row>
    <row r="43" spans="1:18" x14ac:dyDescent="0.25">
      <c r="K43" s="174"/>
      <c r="L43" s="174"/>
      <c r="M43" s="174"/>
      <c r="N43" s="174"/>
      <c r="O43" s="174"/>
      <c r="P43" s="174"/>
      <c r="Q43" s="174"/>
      <c r="R43" s="174"/>
    </row>
    <row r="44" spans="1:18" x14ac:dyDescent="0.25">
      <c r="K44" s="174"/>
      <c r="L44" s="174"/>
      <c r="M44" s="174"/>
      <c r="N44" s="174"/>
      <c r="O44" s="174"/>
      <c r="P44" s="174"/>
      <c r="Q44" s="174"/>
      <c r="R44" s="174"/>
    </row>
    <row r="45" spans="1:18" x14ac:dyDescent="0.25">
      <c r="K45" s="174"/>
      <c r="L45" s="174"/>
      <c r="M45" s="174"/>
      <c r="N45" s="174"/>
      <c r="O45" s="174"/>
      <c r="P45" s="174"/>
      <c r="Q45" s="174"/>
      <c r="R45" s="174"/>
    </row>
    <row r="46" spans="1:18" x14ac:dyDescent="0.25">
      <c r="K46" s="174"/>
      <c r="L46" s="174"/>
      <c r="M46" s="174"/>
      <c r="N46" s="174"/>
      <c r="O46" s="174"/>
      <c r="P46" s="174"/>
      <c r="Q46" s="174"/>
      <c r="R46" s="174"/>
    </row>
    <row r="47" spans="1:18" x14ac:dyDescent="0.25">
      <c r="K47" s="174"/>
      <c r="L47" s="174"/>
      <c r="M47" s="174"/>
      <c r="N47" s="174"/>
      <c r="O47" s="174"/>
      <c r="P47" s="174"/>
      <c r="Q47" s="174"/>
      <c r="R47" s="174"/>
    </row>
  </sheetData>
  <mergeCells count="20">
    <mergeCell ref="A28:J28"/>
    <mergeCell ref="A30:J30"/>
    <mergeCell ref="A32:J32"/>
    <mergeCell ref="A34:J34"/>
    <mergeCell ref="A9:J9"/>
    <mergeCell ref="A29:J29"/>
    <mergeCell ref="A10:J10"/>
    <mergeCell ref="A12:J12"/>
    <mergeCell ref="A14:J14"/>
    <mergeCell ref="A16:J16"/>
    <mergeCell ref="A18:J18"/>
    <mergeCell ref="A20:J20"/>
    <mergeCell ref="A22:J22"/>
    <mergeCell ref="A24:J24"/>
    <mergeCell ref="A26:J26"/>
    <mergeCell ref="A3:J3"/>
    <mergeCell ref="A1:J1"/>
    <mergeCell ref="A4:J4"/>
    <mergeCell ref="A6:J6"/>
    <mergeCell ref="A8:J8"/>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pane xSplit="1" ySplit="1" topLeftCell="B4" activePane="bottomRight" state="frozen"/>
      <selection activeCell="C4" sqref="C4"/>
      <selection pane="topRight" activeCell="C4" sqref="C4"/>
      <selection pane="bottomLeft" activeCell="C4" sqref="C4"/>
      <selection pane="bottomRight" activeCell="K16" sqref="K16"/>
    </sheetView>
  </sheetViews>
  <sheetFormatPr defaultColWidth="9.140625" defaultRowHeight="12.75" x14ac:dyDescent="0.2"/>
  <cols>
    <col min="1" max="1" width="25.140625" style="14" bestFit="1" customWidth="1"/>
    <col min="2" max="2" width="13.85546875" style="14" bestFit="1" customWidth="1"/>
    <col min="3" max="8" width="9.85546875" style="14" bestFit="1" customWidth="1"/>
    <col min="9" max="11" width="10.85546875" style="14" bestFit="1" customWidth="1"/>
    <col min="12" max="16384" width="9.140625" style="14"/>
  </cols>
  <sheetData>
    <row r="1" spans="1:11" s="11" customFormat="1" ht="12.95" x14ac:dyDescent="0.3">
      <c r="A1" s="11" t="s">
        <v>0</v>
      </c>
      <c r="B1" s="11" t="s">
        <v>50</v>
      </c>
      <c r="E1" s="1446" t="str">
        <f>IF(B2&lt;&gt;B3, "A NEW VERSION OF THE WORKSHEET IS AVAILABLE", "")</f>
        <v/>
      </c>
      <c r="F1" s="1446"/>
      <c r="G1" s="1446"/>
      <c r="H1" s="1446"/>
      <c r="I1" s="1446"/>
      <c r="J1" s="1446"/>
      <c r="K1" s="1446"/>
    </row>
    <row r="2" spans="1:11" ht="12.95" x14ac:dyDescent="0.3">
      <c r="A2" s="11" t="s">
        <v>48</v>
      </c>
      <c r="B2" s="14">
        <v>2.1</v>
      </c>
      <c r="E2" s="1447" t="s">
        <v>27</v>
      </c>
      <c r="F2" s="1447"/>
      <c r="G2" s="1447"/>
      <c r="H2" s="1447"/>
      <c r="I2" s="1447"/>
      <c r="J2" s="1447"/>
      <c r="K2" s="1447"/>
    </row>
    <row r="3" spans="1:11" ht="12.95" x14ac:dyDescent="0.3">
      <c r="A3" s="11" t="s">
        <v>49</v>
      </c>
      <c r="B3" s="14">
        <v>2.1</v>
      </c>
    </row>
    <row r="4" spans="1:11" ht="12.95" x14ac:dyDescent="0.3">
      <c r="A4" s="11"/>
    </row>
    <row r="5" spans="1:11" ht="12.95" x14ac:dyDescent="0.3">
      <c r="A5" s="11" t="s">
        <v>51</v>
      </c>
    </row>
    <row r="6" spans="1:11" ht="12.6" x14ac:dyDescent="0.25">
      <c r="A6" s="14" t="s">
        <v>33</v>
      </c>
      <c r="B6" s="14">
        <f>IF(B9&gt;0, B9/B8, 0)</f>
        <v>13.624567474048442</v>
      </c>
    </row>
    <row r="7" spans="1:11" ht="12.6" x14ac:dyDescent="0.25">
      <c r="A7" s="14" t="s">
        <v>22</v>
      </c>
      <c r="B7" s="8">
        <v>1</v>
      </c>
    </row>
    <row r="8" spans="1:11" ht="12.6" x14ac:dyDescent="0.25">
      <c r="A8" s="14" t="s">
        <v>34</v>
      </c>
      <c r="B8" s="8">
        <v>520.20000000000005</v>
      </c>
    </row>
    <row r="9" spans="1:11" ht="12.6" x14ac:dyDescent="0.25">
      <c r="A9" s="14" t="s">
        <v>65</v>
      </c>
      <c r="B9" s="8">
        <v>7087.5</v>
      </c>
    </row>
    <row r="15" spans="1:11" ht="12.95" x14ac:dyDescent="0.3">
      <c r="A15" s="11" t="s">
        <v>28</v>
      </c>
    </row>
    <row r="16" spans="1:11" s="19" customFormat="1" ht="12.95" x14ac:dyDescent="0.3">
      <c r="A16" s="18" t="s">
        <v>29</v>
      </c>
      <c r="B16" s="9">
        <v>40633</v>
      </c>
      <c r="C16" s="9">
        <v>40999</v>
      </c>
      <c r="D16" s="9">
        <v>41364</v>
      </c>
      <c r="E16" s="9">
        <v>41729</v>
      </c>
      <c r="F16" s="9">
        <v>42094</v>
      </c>
      <c r="G16" s="9">
        <v>42460</v>
      </c>
      <c r="H16" s="9">
        <v>42825</v>
      </c>
      <c r="I16" s="9">
        <v>43190</v>
      </c>
      <c r="J16" s="9">
        <v>43555</v>
      </c>
      <c r="K16" s="9">
        <v>43921</v>
      </c>
    </row>
    <row r="17" spans="1:11" ht="12.6" x14ac:dyDescent="0.25">
      <c r="A17" s="14" t="s">
        <v>4</v>
      </c>
      <c r="B17" s="8">
        <v>203.76</v>
      </c>
      <c r="C17" s="8">
        <v>382.84</v>
      </c>
      <c r="D17" s="8">
        <v>626.33000000000004</v>
      </c>
      <c r="E17" s="8">
        <v>1093.27</v>
      </c>
      <c r="F17" s="8">
        <v>1708.65</v>
      </c>
      <c r="G17" s="8">
        <v>1935.32</v>
      </c>
      <c r="H17" s="8">
        <v>2615.7399999999998</v>
      </c>
      <c r="I17" s="8">
        <v>3392.9</v>
      </c>
      <c r="J17" s="8">
        <v>3487.78</v>
      </c>
      <c r="K17" s="8">
        <v>4115.29</v>
      </c>
    </row>
    <row r="18" spans="1:11" ht="14.45" x14ac:dyDescent="0.35">
      <c r="A18" s="14" t="s">
        <v>66</v>
      </c>
      <c r="B18">
        <v>171.61</v>
      </c>
      <c r="C18">
        <v>274.93</v>
      </c>
      <c r="D18">
        <v>516.33000000000004</v>
      </c>
      <c r="E18">
        <v>882.4</v>
      </c>
      <c r="F18">
        <v>1383.06</v>
      </c>
      <c r="G18">
        <v>1542.97</v>
      </c>
      <c r="H18">
        <v>2100.54</v>
      </c>
      <c r="I18">
        <v>2485.1799999999998</v>
      </c>
      <c r="J18">
        <v>2740.18</v>
      </c>
      <c r="K18">
        <v>3299.37</v>
      </c>
    </row>
    <row r="19" spans="1:11" ht="14.45" x14ac:dyDescent="0.35">
      <c r="A19" s="14" t="s">
        <v>67</v>
      </c>
      <c r="B19">
        <v>9.42</v>
      </c>
      <c r="C19">
        <v>-4.17</v>
      </c>
      <c r="D19">
        <v>19.36</v>
      </c>
      <c r="E19">
        <v>12.63</v>
      </c>
      <c r="F19">
        <v>15</v>
      </c>
      <c r="G19">
        <v>14.06</v>
      </c>
      <c r="H19">
        <v>29.38</v>
      </c>
      <c r="I19">
        <v>75.5</v>
      </c>
      <c r="J19">
        <v>3.25</v>
      </c>
      <c r="K19">
        <v>35.200000000000003</v>
      </c>
    </row>
    <row r="20" spans="1:11" ht="12.6" x14ac:dyDescent="0.25">
      <c r="A20" s="14" t="s">
        <v>68</v>
      </c>
      <c r="B20" s="8">
        <v>7.05</v>
      </c>
      <c r="C20" s="8">
        <v>10.85</v>
      </c>
      <c r="D20" s="8">
        <v>19.12</v>
      </c>
      <c r="E20" s="8">
        <v>26.39</v>
      </c>
      <c r="F20" s="8">
        <v>28.83</v>
      </c>
      <c r="G20" s="8">
        <v>25.63</v>
      </c>
      <c r="H20" s="8">
        <v>33.65</v>
      </c>
      <c r="I20" s="8">
        <v>49.35</v>
      </c>
      <c r="J20" s="8">
        <v>53.61</v>
      </c>
      <c r="K20" s="8">
        <v>59.31</v>
      </c>
    </row>
    <row r="21" spans="1:11" ht="12.6" x14ac:dyDescent="0.25">
      <c r="A21" s="14" t="s">
        <v>69</v>
      </c>
      <c r="B21" s="8">
        <v>9.18</v>
      </c>
      <c r="C21" s="8">
        <v>9.07</v>
      </c>
      <c r="D21" s="8">
        <v>13.91</v>
      </c>
      <c r="E21" s="8">
        <v>20.420000000000002</v>
      </c>
      <c r="F21" s="8">
        <v>34.56</v>
      </c>
      <c r="G21" s="8">
        <v>34.869999999999997</v>
      </c>
      <c r="H21" s="8">
        <v>46.15</v>
      </c>
      <c r="I21" s="8">
        <v>84.04</v>
      </c>
      <c r="J21" s="8">
        <v>114.03</v>
      </c>
      <c r="K21" s="8">
        <v>131.38</v>
      </c>
    </row>
    <row r="22" spans="1:11" ht="12.6" x14ac:dyDescent="0.25">
      <c r="A22" s="14" t="s">
        <v>70</v>
      </c>
      <c r="B22" s="8">
        <v>7.47</v>
      </c>
      <c r="C22" s="8">
        <v>15.84</v>
      </c>
      <c r="D22" s="8">
        <v>21.64</v>
      </c>
      <c r="E22" s="8">
        <v>35.24</v>
      </c>
      <c r="F22" s="8">
        <v>47.68</v>
      </c>
      <c r="G22" s="8">
        <v>58.22</v>
      </c>
      <c r="H22" s="8">
        <v>73.150000000000006</v>
      </c>
      <c r="I22" s="8">
        <v>110.97</v>
      </c>
      <c r="J22" s="8">
        <v>100.57</v>
      </c>
      <c r="K22" s="8">
        <v>113.92</v>
      </c>
    </row>
    <row r="23" spans="1:11" ht="12.6" x14ac:dyDescent="0.25">
      <c r="A23" s="14" t="s">
        <v>71</v>
      </c>
      <c r="B23" s="8">
        <v>13.57</v>
      </c>
      <c r="C23" s="8">
        <v>26.53</v>
      </c>
      <c r="D23" s="8">
        <v>43.26</v>
      </c>
      <c r="E23" s="8">
        <v>66.38</v>
      </c>
      <c r="F23" s="8">
        <v>116.63</v>
      </c>
      <c r="G23" s="8">
        <v>133.12</v>
      </c>
      <c r="H23" s="8">
        <v>51.11</v>
      </c>
      <c r="I23" s="8">
        <v>43.68</v>
      </c>
      <c r="J23" s="8">
        <v>54.25</v>
      </c>
      <c r="K23" s="8">
        <v>65.27</v>
      </c>
    </row>
    <row r="24" spans="1:11" ht="12.6" x14ac:dyDescent="0.25">
      <c r="A24" s="14" t="s">
        <v>72</v>
      </c>
      <c r="B24" s="8">
        <v>-4.51</v>
      </c>
      <c r="C24" s="8">
        <v>-3.77</v>
      </c>
      <c r="D24" s="8">
        <v>-19.03</v>
      </c>
      <c r="E24" s="8">
        <v>-36.35</v>
      </c>
      <c r="F24" s="8">
        <v>-69.400000000000006</v>
      </c>
      <c r="G24" s="8">
        <v>-75.73</v>
      </c>
      <c r="H24" s="8">
        <v>8.3000000000000007</v>
      </c>
      <c r="I24" s="8">
        <v>11.5</v>
      </c>
      <c r="J24" s="8">
        <v>18.86</v>
      </c>
      <c r="K24" s="8">
        <v>24.94</v>
      </c>
    </row>
    <row r="25" spans="1:11" ht="12.6" x14ac:dyDescent="0.25">
      <c r="A25" s="14" t="s">
        <v>7</v>
      </c>
      <c r="B25" s="8">
        <v>3.98</v>
      </c>
      <c r="C25" s="8">
        <v>2.86</v>
      </c>
      <c r="D25" s="8">
        <v>2.58</v>
      </c>
      <c r="E25" s="8">
        <v>3.68</v>
      </c>
      <c r="F25" s="8">
        <v>9.02</v>
      </c>
      <c r="G25" s="8">
        <v>21.49</v>
      </c>
      <c r="H25" s="8">
        <v>23.35</v>
      </c>
      <c r="I25" s="8">
        <v>49.37</v>
      </c>
      <c r="J25" s="8">
        <v>59.27</v>
      </c>
      <c r="K25" s="8">
        <v>70.650000000000006</v>
      </c>
    </row>
    <row r="26" spans="1:11" x14ac:dyDescent="0.2">
      <c r="A26" s="14" t="s">
        <v>8</v>
      </c>
      <c r="B26" s="8">
        <v>2.9</v>
      </c>
      <c r="C26" s="8">
        <v>4</v>
      </c>
      <c r="D26" s="8">
        <v>4.9800000000000004</v>
      </c>
      <c r="E26" s="8">
        <v>5.54</v>
      </c>
      <c r="F26" s="8">
        <v>8.8000000000000007</v>
      </c>
      <c r="G26" s="8">
        <v>10.23</v>
      </c>
      <c r="H26" s="8">
        <v>13.69</v>
      </c>
      <c r="I26" s="8">
        <v>23.76</v>
      </c>
      <c r="J26" s="8">
        <v>35.840000000000003</v>
      </c>
      <c r="K26" s="8">
        <v>37.71</v>
      </c>
    </row>
    <row r="27" spans="1:11" ht="15" x14ac:dyDescent="0.25">
      <c r="A27" s="14" t="s">
        <v>9</v>
      </c>
      <c r="B27" s="8">
        <v>4.5999999999999996</v>
      </c>
      <c r="C27" s="8">
        <v>4.07</v>
      </c>
      <c r="D27" s="8">
        <v>3.92</v>
      </c>
      <c r="E27" s="8">
        <v>4.3899999999999997</v>
      </c>
      <c r="F27" s="8">
        <v>2.67</v>
      </c>
      <c r="G27" s="8">
        <v>3.38</v>
      </c>
      <c r="H27" s="8">
        <v>5.14</v>
      </c>
      <c r="I27" s="8">
        <v>4.79</v>
      </c>
      <c r="J27">
        <v>4.91</v>
      </c>
      <c r="K27">
        <v>4.38</v>
      </c>
    </row>
    <row r="28" spans="1:11" x14ac:dyDescent="0.2">
      <c r="A28" s="14" t="s">
        <v>10</v>
      </c>
      <c r="B28" s="8">
        <v>5.29</v>
      </c>
      <c r="C28" s="8">
        <v>40.01</v>
      </c>
      <c r="D28" s="8">
        <v>44.14</v>
      </c>
      <c r="E28" s="8">
        <v>105.17</v>
      </c>
      <c r="F28" s="8">
        <v>179.84</v>
      </c>
      <c r="G28" s="8">
        <v>238.18</v>
      </c>
      <c r="H28" s="8">
        <v>336.74</v>
      </c>
      <c r="I28" s="8">
        <v>704.5</v>
      </c>
      <c r="J28" s="8">
        <v>428.05</v>
      </c>
      <c r="K28" s="8">
        <v>484.86</v>
      </c>
    </row>
    <row r="29" spans="1:11" x14ac:dyDescent="0.2">
      <c r="A29" s="14" t="s">
        <v>11</v>
      </c>
      <c r="B29" s="8">
        <v>1.76</v>
      </c>
      <c r="C29" s="8">
        <v>11.96</v>
      </c>
      <c r="D29" s="8">
        <v>13.96</v>
      </c>
      <c r="E29" s="8">
        <v>35.42</v>
      </c>
      <c r="F29" s="8">
        <v>63.27</v>
      </c>
      <c r="G29" s="8">
        <v>79.2</v>
      </c>
      <c r="H29" s="8">
        <v>110.43</v>
      </c>
      <c r="I29" s="8">
        <v>238.02</v>
      </c>
      <c r="J29" s="8">
        <v>121.44</v>
      </c>
      <c r="K29" s="8">
        <v>98.57</v>
      </c>
    </row>
    <row r="30" spans="1:11" x14ac:dyDescent="0.2">
      <c r="A30" s="14" t="s">
        <v>12</v>
      </c>
      <c r="B30" s="8">
        <v>3.4</v>
      </c>
      <c r="C30" s="8">
        <v>28.05</v>
      </c>
      <c r="D30" s="8">
        <v>30.05</v>
      </c>
      <c r="E30" s="8">
        <v>70.41</v>
      </c>
      <c r="F30" s="8">
        <v>115.92</v>
      </c>
      <c r="G30" s="8">
        <v>157.5</v>
      </c>
      <c r="H30" s="8">
        <v>215.66</v>
      </c>
      <c r="I30" s="8">
        <v>446.47</v>
      </c>
      <c r="J30" s="8">
        <v>273.63</v>
      </c>
      <c r="K30" s="8">
        <v>346.49</v>
      </c>
    </row>
    <row r="31" spans="1:11" x14ac:dyDescent="0.2">
      <c r="A31" s="14" t="s">
        <v>56</v>
      </c>
      <c r="B31" s="8">
        <v>0.8</v>
      </c>
      <c r="C31" s="8">
        <v>5.2</v>
      </c>
      <c r="D31" s="8">
        <v>5.9</v>
      </c>
      <c r="E31" s="8">
        <v>13.62</v>
      </c>
      <c r="F31" s="8">
        <v>24.97</v>
      </c>
      <c r="G31" s="8">
        <v>31.78</v>
      </c>
      <c r="H31" s="8">
        <v>40.86</v>
      </c>
      <c r="I31" s="8">
        <v>54.48</v>
      </c>
      <c r="J31" s="8">
        <v>54.48</v>
      </c>
      <c r="K31" s="8">
        <v>69.459999999999994</v>
      </c>
    </row>
    <row r="40" spans="1:11" x14ac:dyDescent="0.2">
      <c r="A40" s="11" t="s">
        <v>30</v>
      </c>
    </row>
    <row r="41" spans="1:11" s="19" customFormat="1" x14ac:dyDescent="0.2">
      <c r="A41" s="18" t="s">
        <v>29</v>
      </c>
      <c r="B41" s="9">
        <v>43190</v>
      </c>
      <c r="C41" s="9">
        <v>43281</v>
      </c>
      <c r="D41" s="9">
        <v>43373</v>
      </c>
      <c r="E41" s="9">
        <v>43465</v>
      </c>
      <c r="F41" s="9">
        <v>43555</v>
      </c>
      <c r="G41" s="9">
        <v>43646</v>
      </c>
      <c r="H41" s="9">
        <v>43738</v>
      </c>
      <c r="I41" s="9">
        <v>43830</v>
      </c>
      <c r="J41" s="9">
        <v>43921</v>
      </c>
      <c r="K41" s="9">
        <v>44012</v>
      </c>
    </row>
    <row r="42" spans="1:11" x14ac:dyDescent="0.2">
      <c r="A42" s="14" t="s">
        <v>4</v>
      </c>
      <c r="B42" s="8">
        <v>834.28</v>
      </c>
      <c r="C42" s="8">
        <v>1040.24</v>
      </c>
      <c r="D42" s="8">
        <v>754.54</v>
      </c>
      <c r="E42" s="8">
        <v>835.32</v>
      </c>
      <c r="F42" s="8">
        <v>857.68</v>
      </c>
      <c r="G42" s="8">
        <v>1093.49</v>
      </c>
      <c r="H42" s="8">
        <v>1064.3</v>
      </c>
      <c r="I42" s="8">
        <v>922.69</v>
      </c>
      <c r="J42" s="8">
        <v>1034.81</v>
      </c>
      <c r="K42" s="8">
        <v>955.4</v>
      </c>
    </row>
    <row r="43" spans="1:11" x14ac:dyDescent="0.2">
      <c r="A43" s="14" t="s">
        <v>5</v>
      </c>
      <c r="B43" s="8">
        <v>716.83</v>
      </c>
      <c r="C43" s="8">
        <v>908.53</v>
      </c>
      <c r="D43" s="8">
        <v>682.42</v>
      </c>
      <c r="E43" s="8">
        <v>725.67</v>
      </c>
      <c r="F43" s="8">
        <v>764.46</v>
      </c>
      <c r="G43" s="8">
        <v>956.65</v>
      </c>
      <c r="H43" s="8">
        <v>935.3</v>
      </c>
      <c r="I43" s="8">
        <v>859.43</v>
      </c>
      <c r="J43" s="8">
        <v>910.17</v>
      </c>
      <c r="K43" s="8">
        <v>826.31</v>
      </c>
    </row>
    <row r="44" spans="1:11" x14ac:dyDescent="0.2">
      <c r="A44" s="14" t="s">
        <v>7</v>
      </c>
      <c r="B44" s="8">
        <v>14.94</v>
      </c>
      <c r="C44" s="8">
        <v>13.95</v>
      </c>
      <c r="D44" s="8">
        <v>12.27</v>
      </c>
      <c r="E44" s="8">
        <v>14.12</v>
      </c>
      <c r="F44" s="8">
        <v>19.47</v>
      </c>
      <c r="G44" s="8">
        <v>18.059999999999999</v>
      </c>
      <c r="H44" s="8">
        <v>21.52</v>
      </c>
      <c r="I44" s="8">
        <v>19.600000000000001</v>
      </c>
      <c r="J44" s="8">
        <v>11.63</v>
      </c>
      <c r="K44" s="8">
        <v>27.61</v>
      </c>
    </row>
    <row r="45" spans="1:11" x14ac:dyDescent="0.2">
      <c r="A45" s="14" t="s">
        <v>8</v>
      </c>
      <c r="B45" s="8">
        <v>7.74</v>
      </c>
      <c r="C45" s="8">
        <v>8.74</v>
      </c>
      <c r="D45" s="8">
        <v>9.02</v>
      </c>
      <c r="E45" s="8">
        <v>9.0299999999999994</v>
      </c>
      <c r="F45" s="8">
        <v>9.0500000000000007</v>
      </c>
      <c r="G45" s="8">
        <v>9.23</v>
      </c>
      <c r="H45" s="8">
        <v>9.75</v>
      </c>
      <c r="I45" s="8">
        <v>9.1300000000000008</v>
      </c>
      <c r="J45" s="8">
        <v>9.6</v>
      </c>
      <c r="K45" s="8">
        <v>9.43</v>
      </c>
    </row>
    <row r="46" spans="1:11" ht="15" x14ac:dyDescent="0.25">
      <c r="A46" s="14" t="s">
        <v>9</v>
      </c>
      <c r="B46">
        <v>0.21</v>
      </c>
      <c r="C46">
        <v>0.37</v>
      </c>
      <c r="D46">
        <v>0.61</v>
      </c>
      <c r="E46">
        <v>0.54</v>
      </c>
      <c r="F46">
        <v>1.1000000000000001</v>
      </c>
      <c r="G46">
        <v>0.4</v>
      </c>
      <c r="H46">
        <v>0.23</v>
      </c>
      <c r="I46">
        <v>0.68</v>
      </c>
      <c r="J46">
        <v>0.68</v>
      </c>
      <c r="K46">
        <v>0.26</v>
      </c>
    </row>
    <row r="47" spans="1:11" x14ac:dyDescent="0.2">
      <c r="A47" s="14" t="s">
        <v>10</v>
      </c>
      <c r="B47" s="8">
        <v>124.44</v>
      </c>
      <c r="C47" s="8">
        <v>136.55000000000001</v>
      </c>
      <c r="D47" s="8">
        <v>74.760000000000005</v>
      </c>
      <c r="E47" s="8">
        <v>114.2</v>
      </c>
      <c r="F47" s="8">
        <v>102.54</v>
      </c>
      <c r="G47" s="8">
        <v>145.27000000000001</v>
      </c>
      <c r="H47" s="8">
        <v>140.54</v>
      </c>
      <c r="I47" s="8">
        <v>73.05</v>
      </c>
      <c r="J47" s="8">
        <v>125.99</v>
      </c>
      <c r="K47" s="8">
        <v>147.01</v>
      </c>
    </row>
    <row r="48" spans="1:11" x14ac:dyDescent="0.2">
      <c r="A48" s="14" t="s">
        <v>11</v>
      </c>
      <c r="B48" s="8">
        <v>38.44</v>
      </c>
      <c r="C48" s="8">
        <v>46.56</v>
      </c>
      <c r="D48" s="8">
        <v>19.66</v>
      </c>
      <c r="E48" s="8">
        <v>28.87</v>
      </c>
      <c r="F48" s="8">
        <v>26.34</v>
      </c>
      <c r="G48" s="8">
        <v>43.81</v>
      </c>
      <c r="H48" s="8">
        <v>13.28</v>
      </c>
      <c r="I48" s="8">
        <v>14.2</v>
      </c>
      <c r="J48" s="8">
        <v>27.28</v>
      </c>
      <c r="K48" s="8">
        <v>31.02</v>
      </c>
    </row>
    <row r="49" spans="1:11" x14ac:dyDescent="0.2">
      <c r="A49" s="14" t="s">
        <v>12</v>
      </c>
      <c r="B49" s="8">
        <v>82.93</v>
      </c>
      <c r="C49" s="8">
        <v>85.67</v>
      </c>
      <c r="D49" s="8">
        <v>46.4</v>
      </c>
      <c r="E49" s="8">
        <v>73.569999999999993</v>
      </c>
      <c r="F49" s="8">
        <v>67.989999999999995</v>
      </c>
      <c r="G49" s="8">
        <v>92.96</v>
      </c>
      <c r="H49" s="8">
        <v>118.7</v>
      </c>
      <c r="I49" s="8">
        <v>47.85</v>
      </c>
      <c r="J49" s="8">
        <v>86.98</v>
      </c>
      <c r="K49" s="8">
        <v>104.1</v>
      </c>
    </row>
    <row r="50" spans="1:11" x14ac:dyDescent="0.2">
      <c r="A50" s="14" t="s">
        <v>6</v>
      </c>
      <c r="B50" s="8">
        <v>117.45</v>
      </c>
      <c r="C50" s="8">
        <v>131.71</v>
      </c>
      <c r="D50" s="8">
        <v>72.12</v>
      </c>
      <c r="E50" s="8">
        <v>109.65</v>
      </c>
      <c r="F50" s="8">
        <v>93.22</v>
      </c>
      <c r="G50" s="8">
        <v>136.84</v>
      </c>
      <c r="H50" s="8">
        <v>129</v>
      </c>
      <c r="I50" s="8">
        <v>63.26</v>
      </c>
      <c r="J50" s="8">
        <v>124.64</v>
      </c>
      <c r="K50" s="8">
        <v>129.09</v>
      </c>
    </row>
    <row r="55" spans="1:11" x14ac:dyDescent="0.2">
      <c r="A55" s="11" t="s">
        <v>31</v>
      </c>
    </row>
    <row r="56" spans="1:11" s="19" customFormat="1" x14ac:dyDescent="0.2">
      <c r="A56" s="18" t="s">
        <v>29</v>
      </c>
      <c r="B56" s="9">
        <v>40633</v>
      </c>
      <c r="C56" s="9">
        <v>40999</v>
      </c>
      <c r="D56" s="9">
        <v>41364</v>
      </c>
      <c r="E56" s="9">
        <v>41729</v>
      </c>
      <c r="F56" s="9">
        <v>42094</v>
      </c>
      <c r="G56" s="9">
        <v>42460</v>
      </c>
      <c r="H56" s="9">
        <v>42825</v>
      </c>
      <c r="I56" s="9">
        <v>43190</v>
      </c>
      <c r="J56" s="9">
        <v>43555</v>
      </c>
      <c r="K56" s="9">
        <v>43921</v>
      </c>
    </row>
    <row r="57" spans="1:11" x14ac:dyDescent="0.2">
      <c r="A57" s="14" t="s">
        <v>15</v>
      </c>
      <c r="B57" s="8">
        <v>8</v>
      </c>
      <c r="C57" s="8">
        <v>8</v>
      </c>
      <c r="D57" s="8">
        <v>9.08</v>
      </c>
      <c r="E57" s="8">
        <v>9.08</v>
      </c>
      <c r="F57" s="8">
        <v>9.08</v>
      </c>
      <c r="G57" s="8">
        <v>9.08</v>
      </c>
      <c r="H57" s="8">
        <v>9.08</v>
      </c>
      <c r="I57" s="8">
        <v>9.08</v>
      </c>
      <c r="J57" s="8">
        <v>13.62</v>
      </c>
      <c r="K57" s="8">
        <v>13.62</v>
      </c>
    </row>
    <row r="58" spans="1:11" x14ac:dyDescent="0.2">
      <c r="A58" s="14" t="s">
        <v>16</v>
      </c>
      <c r="B58" s="8">
        <v>61.52</v>
      </c>
      <c r="C58" s="8">
        <v>85.61</v>
      </c>
      <c r="D58" s="8">
        <v>116.02</v>
      </c>
      <c r="E58" s="8">
        <v>170.49</v>
      </c>
      <c r="F58" s="8">
        <v>256.20999999999998</v>
      </c>
      <c r="G58" s="8">
        <v>413.71</v>
      </c>
      <c r="H58" s="8">
        <v>626.34</v>
      </c>
      <c r="I58" s="8">
        <v>1022.4</v>
      </c>
      <c r="J58" s="8">
        <v>1192.3399999999999</v>
      </c>
      <c r="K58" s="8">
        <v>1390.06</v>
      </c>
    </row>
    <row r="59" spans="1:11" ht="15" x14ac:dyDescent="0.25">
      <c r="A59" s="14" t="s">
        <v>57</v>
      </c>
      <c r="B59">
        <v>54.46</v>
      </c>
      <c r="C59">
        <v>49.57</v>
      </c>
      <c r="D59">
        <v>61.08</v>
      </c>
      <c r="E59">
        <v>56.12</v>
      </c>
      <c r="F59">
        <v>58.4</v>
      </c>
      <c r="G59">
        <v>10.71</v>
      </c>
      <c r="H59">
        <v>19.260000000000002</v>
      </c>
      <c r="I59">
        <v>6.87</v>
      </c>
      <c r="J59">
        <v>9.34</v>
      </c>
      <c r="K59">
        <v>1.57</v>
      </c>
    </row>
    <row r="60" spans="1:11" x14ac:dyDescent="0.2">
      <c r="A60" s="14" t="s">
        <v>58</v>
      </c>
      <c r="B60" s="8">
        <v>26.44</v>
      </c>
      <c r="C60" s="8">
        <v>39.340000000000003</v>
      </c>
      <c r="D60" s="8">
        <v>61.92</v>
      </c>
      <c r="E60" s="8">
        <v>162.66</v>
      </c>
      <c r="F60" s="8">
        <v>153.88999999999999</v>
      </c>
      <c r="G60" s="8">
        <v>189.1</v>
      </c>
      <c r="H60" s="8">
        <v>413.96</v>
      </c>
      <c r="I60" s="8">
        <v>487.91</v>
      </c>
      <c r="J60" s="8">
        <v>399.52</v>
      </c>
      <c r="K60" s="8">
        <v>474.7</v>
      </c>
    </row>
    <row r="61" spans="1:11" s="11" customFormat="1" x14ac:dyDescent="0.2">
      <c r="A61" s="11" t="s">
        <v>17</v>
      </c>
      <c r="B61" s="8">
        <v>150.41999999999999</v>
      </c>
      <c r="C61" s="8">
        <v>182.52</v>
      </c>
      <c r="D61" s="8">
        <v>248.1</v>
      </c>
      <c r="E61" s="8">
        <v>398.35</v>
      </c>
      <c r="F61" s="8">
        <v>477.58</v>
      </c>
      <c r="G61" s="8">
        <v>622.6</v>
      </c>
      <c r="H61" s="8">
        <v>1068.6400000000001</v>
      </c>
      <c r="I61" s="8">
        <v>1526.26</v>
      </c>
      <c r="J61" s="8">
        <v>1614.82</v>
      </c>
      <c r="K61" s="8">
        <v>1879.95</v>
      </c>
    </row>
    <row r="62" spans="1:11" x14ac:dyDescent="0.2">
      <c r="A62" s="14" t="s">
        <v>18</v>
      </c>
      <c r="B62" s="8">
        <v>26.78</v>
      </c>
      <c r="C62" s="8">
        <v>43.09</v>
      </c>
      <c r="D62" s="8">
        <v>50.85</v>
      </c>
      <c r="E62" s="8">
        <v>77.510000000000005</v>
      </c>
      <c r="F62" s="8">
        <v>89.57</v>
      </c>
      <c r="G62" s="8">
        <v>103.99</v>
      </c>
      <c r="H62" s="8">
        <v>160.47</v>
      </c>
      <c r="I62" s="8">
        <v>312.14</v>
      </c>
      <c r="J62" s="8">
        <v>292.52999999999997</v>
      </c>
      <c r="K62" s="8">
        <v>270.87</v>
      </c>
    </row>
    <row r="63" spans="1:11" x14ac:dyDescent="0.2">
      <c r="A63" s="14" t="s">
        <v>19</v>
      </c>
      <c r="B63" s="8">
        <v>11.12</v>
      </c>
      <c r="C63" s="8">
        <v>1.67</v>
      </c>
      <c r="D63" s="8">
        <v>1.59</v>
      </c>
      <c r="E63" s="8">
        <v>4.8099999999999996</v>
      </c>
      <c r="F63" s="8"/>
      <c r="G63" s="8">
        <v>41.62</v>
      </c>
      <c r="H63" s="8">
        <v>94.07</v>
      </c>
      <c r="I63" s="8">
        <v>1.97</v>
      </c>
      <c r="J63" s="8">
        <v>9.01</v>
      </c>
      <c r="K63" s="8">
        <v>25.89</v>
      </c>
    </row>
    <row r="64" spans="1:11" ht="15" x14ac:dyDescent="0.25">
      <c r="A64" s="14" t="s">
        <v>20</v>
      </c>
      <c r="B64" s="8">
        <v>34.49</v>
      </c>
      <c r="C64">
        <v>44.77</v>
      </c>
      <c r="D64" s="8">
        <v>34.869999999999997</v>
      </c>
      <c r="E64" s="8">
        <v>40.31</v>
      </c>
      <c r="F64" s="8">
        <v>111.09</v>
      </c>
      <c r="G64" s="8">
        <v>33.15</v>
      </c>
      <c r="H64" s="8">
        <v>359.61</v>
      </c>
      <c r="I64" s="8">
        <v>584.45000000000005</v>
      </c>
      <c r="J64" s="8">
        <v>630.16999999999996</v>
      </c>
      <c r="K64" s="8">
        <v>680.48</v>
      </c>
    </row>
    <row r="65" spans="1:11" x14ac:dyDescent="0.2">
      <c r="A65" s="14" t="s">
        <v>59</v>
      </c>
      <c r="B65" s="8">
        <v>78.03</v>
      </c>
      <c r="C65" s="8">
        <v>92.99</v>
      </c>
      <c r="D65" s="8">
        <v>160.79</v>
      </c>
      <c r="E65" s="8">
        <v>275.72000000000003</v>
      </c>
      <c r="F65" s="8">
        <v>276.92</v>
      </c>
      <c r="G65" s="8">
        <v>443.84</v>
      </c>
      <c r="H65" s="8">
        <v>454.49</v>
      </c>
      <c r="I65" s="8">
        <v>627.70000000000005</v>
      </c>
      <c r="J65" s="8">
        <v>683.11</v>
      </c>
      <c r="K65" s="8">
        <v>902.71</v>
      </c>
    </row>
    <row r="66" spans="1:11" s="11" customFormat="1" x14ac:dyDescent="0.2">
      <c r="A66" s="11" t="s">
        <v>17</v>
      </c>
      <c r="B66" s="8">
        <v>150.41999999999999</v>
      </c>
      <c r="C66" s="8">
        <v>182.52</v>
      </c>
      <c r="D66" s="8">
        <v>248.1</v>
      </c>
      <c r="E66" s="8">
        <v>398.35</v>
      </c>
      <c r="F66" s="8">
        <v>477.58</v>
      </c>
      <c r="G66" s="8">
        <v>622.6</v>
      </c>
      <c r="H66" s="8">
        <v>1068.6400000000001</v>
      </c>
      <c r="I66" s="8">
        <v>1526.26</v>
      </c>
      <c r="J66" s="8">
        <v>1614.82</v>
      </c>
      <c r="K66" s="8">
        <v>1879.95</v>
      </c>
    </row>
    <row r="67" spans="1:11" x14ac:dyDescent="0.2">
      <c r="A67" s="14" t="s">
        <v>64</v>
      </c>
      <c r="B67" s="8">
        <v>22.81</v>
      </c>
      <c r="C67" s="8">
        <v>15.51</v>
      </c>
      <c r="D67" s="8">
        <v>39.729999999999997</v>
      </c>
      <c r="E67" s="8">
        <v>45.02</v>
      </c>
      <c r="F67" s="8">
        <v>33.56</v>
      </c>
      <c r="G67" s="8">
        <v>34.97</v>
      </c>
      <c r="H67" s="8">
        <v>23.41</v>
      </c>
      <c r="I67" s="8">
        <v>50.03</v>
      </c>
      <c r="J67" s="8">
        <v>48.64</v>
      </c>
      <c r="K67" s="8">
        <v>88.77</v>
      </c>
    </row>
    <row r="68" spans="1:11" ht="15" x14ac:dyDescent="0.25">
      <c r="A68" s="14" t="s">
        <v>35</v>
      </c>
      <c r="B68">
        <v>39.049999999999997</v>
      </c>
      <c r="C68">
        <v>42.15</v>
      </c>
      <c r="D68">
        <v>97.16</v>
      </c>
      <c r="E68">
        <v>199.15</v>
      </c>
      <c r="F68">
        <v>222.02</v>
      </c>
      <c r="G68">
        <v>285.55</v>
      </c>
      <c r="H68">
        <v>355.7</v>
      </c>
      <c r="I68">
        <v>524.80999999999995</v>
      </c>
      <c r="J68">
        <v>379.06</v>
      </c>
      <c r="K68">
        <v>543.51</v>
      </c>
    </row>
    <row r="69" spans="1:11" x14ac:dyDescent="0.2">
      <c r="A69" s="14" t="s">
        <v>73</v>
      </c>
      <c r="B69" s="8">
        <v>4.5599999999999996</v>
      </c>
      <c r="C69" s="8">
        <v>22.05</v>
      </c>
      <c r="D69" s="8">
        <v>8.59</v>
      </c>
      <c r="E69" s="8">
        <v>12.86</v>
      </c>
      <c r="F69" s="8">
        <v>6.16</v>
      </c>
      <c r="G69" s="8">
        <v>72.569999999999993</v>
      </c>
      <c r="H69" s="8">
        <v>45.12</v>
      </c>
      <c r="I69" s="8">
        <v>14.36</v>
      </c>
      <c r="J69" s="8">
        <v>186.91</v>
      </c>
      <c r="K69" s="8">
        <v>198.57</v>
      </c>
    </row>
    <row r="70" spans="1:11" x14ac:dyDescent="0.2">
      <c r="A70" s="14" t="s">
        <v>60</v>
      </c>
      <c r="B70" s="8">
        <v>8000000</v>
      </c>
      <c r="C70" s="8">
        <v>8000000</v>
      </c>
      <c r="D70" s="8">
        <v>9083042</v>
      </c>
      <c r="E70" s="8">
        <v>9083042</v>
      </c>
      <c r="F70" s="8">
        <v>9083042</v>
      </c>
      <c r="G70" s="8">
        <v>45415210</v>
      </c>
      <c r="H70" s="8">
        <v>45415210</v>
      </c>
      <c r="I70" s="8">
        <v>45415210</v>
      </c>
      <c r="J70" s="8">
        <v>136245630</v>
      </c>
      <c r="K70" s="8">
        <v>136245630</v>
      </c>
    </row>
    <row r="71" spans="1:11" x14ac:dyDescent="0.2">
      <c r="A71" s="14" t="s">
        <v>61</v>
      </c>
    </row>
    <row r="72" spans="1:11" x14ac:dyDescent="0.2">
      <c r="A72" s="14" t="s">
        <v>74</v>
      </c>
      <c r="B72" s="8">
        <v>10</v>
      </c>
      <c r="C72" s="8">
        <v>10</v>
      </c>
      <c r="D72" s="8">
        <v>10</v>
      </c>
      <c r="E72" s="8">
        <v>10</v>
      </c>
      <c r="F72" s="8">
        <v>10</v>
      </c>
      <c r="G72" s="8">
        <v>2</v>
      </c>
      <c r="H72" s="8">
        <v>2</v>
      </c>
      <c r="I72" s="8">
        <v>2</v>
      </c>
      <c r="J72" s="8">
        <v>1</v>
      </c>
      <c r="K72" s="8">
        <v>1</v>
      </c>
    </row>
    <row r="80" spans="1:11" x14ac:dyDescent="0.2">
      <c r="A80" s="11" t="s">
        <v>32</v>
      </c>
    </row>
    <row r="81" spans="1:12" s="19" customFormat="1" x14ac:dyDescent="0.2">
      <c r="A81" s="18" t="s">
        <v>29</v>
      </c>
      <c r="B81" s="9">
        <v>40633</v>
      </c>
      <c r="C81" s="9">
        <v>40999</v>
      </c>
      <c r="D81" s="9">
        <v>41364</v>
      </c>
      <c r="E81" s="9">
        <v>41729</v>
      </c>
      <c r="F81" s="9">
        <v>42094</v>
      </c>
      <c r="G81" s="9">
        <v>42460</v>
      </c>
      <c r="H81" s="9">
        <v>42825</v>
      </c>
      <c r="I81" s="9">
        <v>43190</v>
      </c>
      <c r="J81" s="9">
        <v>43555</v>
      </c>
      <c r="K81" s="9">
        <v>43921</v>
      </c>
      <c r="L81" s="9"/>
    </row>
    <row r="82" spans="1:12" s="11" customFormat="1" x14ac:dyDescent="0.2">
      <c r="A82" s="14" t="s">
        <v>23</v>
      </c>
      <c r="B82" s="8">
        <v>-7.72</v>
      </c>
      <c r="C82" s="8">
        <v>50.38</v>
      </c>
      <c r="D82" s="8">
        <v>-20.55</v>
      </c>
      <c r="E82" s="8">
        <v>55.56</v>
      </c>
      <c r="F82" s="8">
        <v>89.34</v>
      </c>
      <c r="G82" s="8">
        <v>122</v>
      </c>
      <c r="H82" s="8">
        <v>277.75</v>
      </c>
      <c r="I82" s="8">
        <v>280.93</v>
      </c>
      <c r="J82" s="8">
        <v>183.76</v>
      </c>
      <c r="K82" s="8">
        <v>125.09</v>
      </c>
    </row>
    <row r="83" spans="1:12" x14ac:dyDescent="0.2">
      <c r="A83" s="14" t="s">
        <v>24</v>
      </c>
      <c r="B83" s="8">
        <v>-17.600000000000001</v>
      </c>
      <c r="C83" s="8">
        <v>-17.440000000000001</v>
      </c>
      <c r="D83" s="8">
        <v>5.43</v>
      </c>
      <c r="E83" s="8">
        <v>-39.1</v>
      </c>
      <c r="F83" s="8">
        <v>-83.52</v>
      </c>
      <c r="G83" s="8">
        <v>18.13</v>
      </c>
      <c r="H83" s="8">
        <v>-407.76</v>
      </c>
      <c r="I83" s="8">
        <v>-269.27</v>
      </c>
      <c r="J83" s="8">
        <v>-26.78</v>
      </c>
      <c r="K83" s="8">
        <v>-25.94</v>
      </c>
    </row>
    <row r="84" spans="1:12" x14ac:dyDescent="0.2">
      <c r="A84" s="14" t="s">
        <v>25</v>
      </c>
      <c r="B84" s="8">
        <v>19.010000000000002</v>
      </c>
      <c r="C84" s="8">
        <v>-14.09</v>
      </c>
      <c r="D84" s="8">
        <v>0.81</v>
      </c>
      <c r="E84" s="8">
        <v>-12.74</v>
      </c>
      <c r="F84" s="8">
        <v>-11.97</v>
      </c>
      <c r="G84" s="8">
        <v>-74.260000000000005</v>
      </c>
      <c r="H84" s="8">
        <v>100.51</v>
      </c>
      <c r="I84" s="8">
        <v>-45.45</v>
      </c>
      <c r="J84" s="8">
        <v>-105.77</v>
      </c>
      <c r="K84" s="8">
        <v>-141.31</v>
      </c>
    </row>
    <row r="85" spans="1:12" s="11" customFormat="1" x14ac:dyDescent="0.2">
      <c r="A85" s="14" t="s">
        <v>26</v>
      </c>
      <c r="B85" s="8">
        <v>-6.31</v>
      </c>
      <c r="C85" s="8">
        <v>18.850000000000001</v>
      </c>
      <c r="D85" s="8">
        <v>-14.31</v>
      </c>
      <c r="E85" s="8">
        <v>3.72</v>
      </c>
      <c r="F85" s="8">
        <v>-6.15</v>
      </c>
      <c r="G85" s="8">
        <v>65.86</v>
      </c>
      <c r="H85" s="8">
        <v>-29.5</v>
      </c>
      <c r="I85" s="8">
        <v>-33.79</v>
      </c>
      <c r="J85" s="8">
        <v>51.21</v>
      </c>
      <c r="K85" s="8">
        <v>-42.16</v>
      </c>
    </row>
    <row r="90" spans="1:12" s="11" customFormat="1" x14ac:dyDescent="0.2">
      <c r="A90" s="11" t="s">
        <v>63</v>
      </c>
      <c r="B90" s="8">
        <v>2.33</v>
      </c>
      <c r="C90" s="8">
        <v>6.38</v>
      </c>
      <c r="D90" s="8">
        <v>7.05</v>
      </c>
      <c r="E90" s="8">
        <v>34.659999999999997</v>
      </c>
      <c r="F90" s="8">
        <v>102.47</v>
      </c>
      <c r="G90" s="8">
        <v>132.6</v>
      </c>
      <c r="H90" s="8">
        <v>245.84</v>
      </c>
      <c r="I90" s="8">
        <v>744.89</v>
      </c>
      <c r="J90" s="8">
        <v>408.8</v>
      </c>
      <c r="K90" s="8">
        <v>294.25</v>
      </c>
    </row>
    <row r="92" spans="1:12" s="11" customFormat="1" x14ac:dyDescent="0.2">
      <c r="A92" s="11" t="s">
        <v>62</v>
      </c>
    </row>
    <row r="93" spans="1:12" x14ac:dyDescent="0.2">
      <c r="A93" s="14" t="s">
        <v>75</v>
      </c>
      <c r="B93" s="20">
        <v>12</v>
      </c>
      <c r="C93" s="20">
        <v>12</v>
      </c>
      <c r="D93" s="20">
        <v>13.6</v>
      </c>
      <c r="E93" s="20">
        <v>13.6</v>
      </c>
      <c r="F93" s="20">
        <v>13.6</v>
      </c>
      <c r="G93" s="20">
        <v>13.62</v>
      </c>
      <c r="H93" s="20">
        <v>13.62</v>
      </c>
      <c r="I93" s="20">
        <v>13.62</v>
      </c>
      <c r="J93" s="20">
        <v>13.62</v>
      </c>
      <c r="K93" s="20">
        <v>13.62</v>
      </c>
    </row>
  </sheetData>
  <mergeCells count="2">
    <mergeCell ref="E1:K1"/>
    <mergeCell ref="E2:K2"/>
  </mergeCells>
  <conditionalFormatting sqref="E1:K1">
    <cfRule type="cellIs" dxfId="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6"/>
  <sheetViews>
    <sheetView showGridLines="0" workbookViewId="0">
      <selection activeCell="C1" sqref="C1"/>
    </sheetView>
  </sheetViews>
  <sheetFormatPr defaultColWidth="9.140625" defaultRowHeight="15" x14ac:dyDescent="0.25"/>
  <cols>
    <col min="1" max="1" width="9.140625" style="1"/>
    <col min="2" max="2" width="10.5703125" style="2" customWidth="1"/>
    <col min="3" max="3" width="13.28515625" style="4" customWidth="1"/>
    <col min="4" max="5" width="9.140625" style="2"/>
    <col min="6" max="6" width="6.85546875" style="2" customWidth="1"/>
    <col min="7" max="16384" width="9.140625" style="2"/>
  </cols>
  <sheetData>
    <row r="1" spans="1:7" ht="21" x14ac:dyDescent="0.5">
      <c r="A1" s="3" t="s">
        <v>45</v>
      </c>
    </row>
    <row r="3" spans="1:7" ht="14.45" x14ac:dyDescent="0.35">
      <c r="A3" s="1" t="s">
        <v>36</v>
      </c>
    </row>
    <row r="4" spans="1:7" x14ac:dyDescent="0.25">
      <c r="B4" s="2" t="s">
        <v>76</v>
      </c>
    </row>
    <row r="5" spans="1:7" ht="14.45" x14ac:dyDescent="0.35">
      <c r="B5" s="2" t="s">
        <v>37</v>
      </c>
    </row>
    <row r="7" spans="1:7" ht="14.45" x14ac:dyDescent="0.35">
      <c r="A7" s="1" t="s">
        <v>38</v>
      </c>
    </row>
    <row r="8" spans="1:7" ht="14.45" x14ac:dyDescent="0.35">
      <c r="B8" s="2" t="s">
        <v>39</v>
      </c>
      <c r="C8" s="5" t="s">
        <v>77</v>
      </c>
    </row>
    <row r="10" spans="1:7" ht="14.45" x14ac:dyDescent="0.35">
      <c r="A10" s="1" t="s">
        <v>40</v>
      </c>
    </row>
    <row r="11" spans="1:7" ht="14.45" x14ac:dyDescent="0.35">
      <c r="B11" s="2" t="s">
        <v>41</v>
      </c>
    </row>
    <row r="14" spans="1:7" ht="14.45" x14ac:dyDescent="0.35">
      <c r="A14" s="1" t="s">
        <v>42</v>
      </c>
    </row>
    <row r="15" spans="1:7" ht="14.45" x14ac:dyDescent="0.35">
      <c r="B15" s="2" t="s">
        <v>43</v>
      </c>
    </row>
    <row r="16" spans="1:7" ht="14.45" x14ac:dyDescent="0.35">
      <c r="B16" s="2" t="s">
        <v>44</v>
      </c>
      <c r="G16" s="6" t="s">
        <v>78</v>
      </c>
    </row>
  </sheetData>
  <hyperlinks>
    <hyperlink ref="C8" r:id="rId1" display=" http://www.screener.in/excel"/>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election sqref="A1:K1"/>
    </sheetView>
  </sheetViews>
  <sheetFormatPr defaultColWidth="9.140625" defaultRowHeight="12.75" x14ac:dyDescent="0.2"/>
  <cols>
    <col min="1" max="1" width="34.5703125" style="46" bestFit="1" customWidth="1"/>
    <col min="2" max="2" width="34" style="46" customWidth="1"/>
    <col min="3" max="16384" width="9.140625" style="46"/>
  </cols>
  <sheetData>
    <row r="1" spans="1:13" ht="30.75" customHeight="1" x14ac:dyDescent="0.25">
      <c r="A1" s="842" t="s">
        <v>180</v>
      </c>
      <c r="B1" s="843"/>
      <c r="C1" s="843"/>
      <c r="D1" s="843"/>
      <c r="E1" s="843"/>
      <c r="F1" s="843"/>
      <c r="G1" s="843"/>
      <c r="H1" s="843"/>
      <c r="I1" s="843"/>
      <c r="J1" s="843"/>
      <c r="K1" s="843"/>
      <c r="L1"/>
      <c r="M1"/>
    </row>
    <row r="2" spans="1:13" ht="24.75" customHeight="1" x14ac:dyDescent="0.2">
      <c r="A2" s="844" t="s">
        <v>181</v>
      </c>
      <c r="B2" s="844"/>
      <c r="C2" s="844"/>
      <c r="D2" s="844"/>
      <c r="E2" s="844"/>
      <c r="F2" s="844"/>
      <c r="G2" s="844"/>
      <c r="H2" s="844"/>
      <c r="I2" s="844"/>
      <c r="J2" s="844"/>
      <c r="K2" s="844"/>
    </row>
    <row r="3" spans="1:13" ht="10.5" customHeight="1" thickBot="1" x14ac:dyDescent="0.3">
      <c r="A3"/>
      <c r="B3"/>
    </row>
    <row r="4" spans="1:13" ht="24" customHeight="1" thickTop="1" thickBot="1" x14ac:dyDescent="0.45">
      <c r="A4" s="853" t="s">
        <v>150</v>
      </c>
      <c r="B4" s="854"/>
      <c r="E4" s="328"/>
      <c r="F4" s="328"/>
      <c r="G4" s="328"/>
      <c r="H4" s="328"/>
      <c r="I4" s="328"/>
      <c r="J4" s="328"/>
      <c r="K4" s="328"/>
    </row>
    <row r="5" spans="1:13" ht="16.5" thickTop="1" thickBot="1" x14ac:dyDescent="0.3">
      <c r="A5" s="80" t="s">
        <v>151</v>
      </c>
      <c r="B5" s="81" t="s">
        <v>152</v>
      </c>
      <c r="E5" s="328"/>
      <c r="F5" s="328"/>
      <c r="G5" s="328"/>
      <c r="H5" s="328"/>
      <c r="I5" s="328"/>
      <c r="J5" s="328"/>
      <c r="K5" s="328"/>
    </row>
    <row r="6" spans="1:13" ht="16.5" thickTop="1" thickBot="1" x14ac:dyDescent="0.3">
      <c r="A6" s="82" t="s">
        <v>153</v>
      </c>
      <c r="B6" s="83" t="str">
        <f>'Data Sheet'!B1</f>
        <v>AVANTI FEEDS LTD</v>
      </c>
      <c r="E6" s="328"/>
      <c r="F6" s="328"/>
      <c r="G6" s="328"/>
      <c r="H6" s="328"/>
      <c r="I6" s="328"/>
      <c r="J6" s="328"/>
      <c r="K6" s="328"/>
    </row>
    <row r="7" spans="1:13" ht="16.5" thickTop="1" thickBot="1" x14ac:dyDescent="0.3">
      <c r="A7" s="82" t="s">
        <v>154</v>
      </c>
      <c r="B7" s="84">
        <f>'Data Sheet'!B8</f>
        <v>520.20000000000005</v>
      </c>
      <c r="E7" s="328"/>
      <c r="F7" s="328"/>
      <c r="G7" s="328"/>
      <c r="H7" s="328"/>
      <c r="I7" s="328"/>
      <c r="J7" s="328"/>
      <c r="K7" s="328"/>
    </row>
    <row r="8" spans="1:13" ht="16.5" thickTop="1" thickBot="1" x14ac:dyDescent="0.3">
      <c r="A8" s="82" t="s">
        <v>155</v>
      </c>
      <c r="B8" s="84">
        <f>'Data Sheet'!B7</f>
        <v>1</v>
      </c>
      <c r="E8" s="672"/>
      <c r="F8" s="672"/>
      <c r="G8" s="672"/>
      <c r="H8" s="672"/>
      <c r="I8" s="672"/>
      <c r="J8" s="672"/>
      <c r="K8" s="672"/>
    </row>
    <row r="9" spans="1:13" ht="16.5" thickTop="1" thickBot="1" x14ac:dyDescent="0.3">
      <c r="A9" s="82" t="s">
        <v>156</v>
      </c>
      <c r="B9" s="84">
        <f>'Data Sheet'!B6</f>
        <v>13.624567474048442</v>
      </c>
      <c r="E9" s="672"/>
      <c r="F9" s="672"/>
      <c r="G9" s="672"/>
      <c r="H9" s="672"/>
      <c r="I9" s="672"/>
      <c r="J9" s="672"/>
      <c r="K9" s="672"/>
    </row>
    <row r="10" spans="1:13" ht="16.5" thickTop="1" thickBot="1" x14ac:dyDescent="0.3">
      <c r="A10" s="85" t="s">
        <v>157</v>
      </c>
      <c r="B10" s="86">
        <f>B7*B9</f>
        <v>7087.5</v>
      </c>
      <c r="E10" s="672"/>
      <c r="F10" s="672"/>
      <c r="G10" s="672"/>
      <c r="H10" s="672"/>
      <c r="I10" s="672"/>
      <c r="J10" s="672"/>
      <c r="K10" s="672"/>
    </row>
    <row r="11" spans="1:13" ht="11.25" customHeight="1" thickTop="1" thickBot="1" x14ac:dyDescent="0.25">
      <c r="E11" s="672"/>
      <c r="F11" s="672"/>
      <c r="G11" s="672"/>
      <c r="H11" s="672"/>
      <c r="I11" s="672"/>
      <c r="J11" s="672"/>
      <c r="K11" s="672"/>
    </row>
    <row r="12" spans="1:13" ht="14.25" thickTop="1" thickBot="1" x14ac:dyDescent="0.25">
      <c r="A12" s="845" t="s">
        <v>161</v>
      </c>
      <c r="B12" s="846"/>
      <c r="E12" s="672"/>
      <c r="F12" s="672"/>
      <c r="G12" s="672"/>
      <c r="H12" s="672"/>
      <c r="I12" s="672"/>
      <c r="J12" s="672"/>
      <c r="K12" s="672"/>
    </row>
    <row r="13" spans="1:13" ht="14.25" thickTop="1" thickBot="1" x14ac:dyDescent="0.25">
      <c r="A13" s="847"/>
      <c r="B13" s="848"/>
      <c r="E13" s="672"/>
      <c r="F13" s="672"/>
      <c r="G13" s="672"/>
      <c r="H13" s="672"/>
      <c r="I13" s="672"/>
      <c r="J13" s="672"/>
      <c r="K13" s="672"/>
    </row>
    <row r="14" spans="1:13" ht="14.25" thickTop="1" thickBot="1" x14ac:dyDescent="0.25">
      <c r="A14" s="849" t="s">
        <v>151</v>
      </c>
      <c r="B14" s="851" t="s">
        <v>152</v>
      </c>
      <c r="E14" s="672"/>
      <c r="F14" s="672"/>
      <c r="G14" s="672"/>
      <c r="H14" s="672"/>
      <c r="I14" s="672"/>
      <c r="J14" s="672"/>
      <c r="K14" s="672"/>
    </row>
    <row r="15" spans="1:13" ht="14.25" thickTop="1" thickBot="1" x14ac:dyDescent="0.25">
      <c r="A15" s="850"/>
      <c r="B15" s="852"/>
      <c r="E15" s="672"/>
      <c r="F15" s="672"/>
      <c r="G15" s="672"/>
      <c r="H15" s="672"/>
      <c r="I15" s="672"/>
      <c r="J15" s="672"/>
      <c r="K15" s="672"/>
    </row>
    <row r="16" spans="1:13" ht="16.5" thickTop="1" thickBot="1" x14ac:dyDescent="0.3">
      <c r="A16" s="87" t="s">
        <v>162</v>
      </c>
      <c r="B16" s="88">
        <f>Growth!K11</f>
        <v>0.3964689353899935</v>
      </c>
      <c r="E16" s="672"/>
      <c r="F16" s="672"/>
      <c r="G16" s="672"/>
      <c r="H16" s="672"/>
      <c r="I16" s="672"/>
      <c r="J16" s="672"/>
      <c r="K16" s="672"/>
    </row>
    <row r="17" spans="1:11" ht="22.5" thickTop="1" thickBot="1" x14ac:dyDescent="0.3">
      <c r="A17" s="87" t="s">
        <v>163</v>
      </c>
      <c r="B17" s="88">
        <f>Growth!K12</f>
        <v>0.65202971198538173</v>
      </c>
      <c r="E17" s="672"/>
      <c r="F17" s="74"/>
      <c r="G17" s="74"/>
      <c r="H17" s="672"/>
      <c r="I17" s="672"/>
      <c r="J17" s="672"/>
      <c r="K17" s="672"/>
    </row>
    <row r="18" spans="1:11" ht="16.5" thickTop="1" thickBot="1" x14ac:dyDescent="0.3">
      <c r="A18" s="87" t="s">
        <v>158</v>
      </c>
      <c r="B18" s="88">
        <f>('Data Sheet'!K30/'Data Sheet'!B30)^(1/9)-1</f>
        <v>0.67160877819603737</v>
      </c>
      <c r="E18" s="672"/>
      <c r="F18"/>
      <c r="G18"/>
      <c r="H18" s="672"/>
      <c r="I18" s="672"/>
      <c r="J18" s="672"/>
      <c r="K18" s="672"/>
    </row>
    <row r="19" spans="1:11" ht="16.5" thickTop="1" thickBot="1" x14ac:dyDescent="0.3">
      <c r="A19" s="87" t="s">
        <v>159</v>
      </c>
      <c r="B19" s="89">
        <f>AVERAGE('Financial Health'!H14:L14)</f>
        <v>1.4233214813038525E-2</v>
      </c>
      <c r="E19" s="672"/>
      <c r="F19"/>
      <c r="G19"/>
      <c r="H19" s="672"/>
      <c r="I19" s="672"/>
      <c r="J19" s="672"/>
      <c r="K19" s="672"/>
    </row>
    <row r="20" spans="1:11" ht="16.5" thickTop="1" thickBot="1" x14ac:dyDescent="0.3">
      <c r="A20" s="87" t="s">
        <v>160</v>
      </c>
      <c r="B20" s="88">
        <f>AVERAGE(Profitability!G18:K18)</f>
        <v>0.32370181653435609</v>
      </c>
      <c r="E20" s="672"/>
      <c r="F20" s="672"/>
      <c r="G20" s="672"/>
      <c r="H20" s="672"/>
      <c r="I20" s="672"/>
      <c r="J20" s="672"/>
      <c r="K20" s="672"/>
    </row>
    <row r="21" spans="1:11" ht="16.5" thickTop="1" thickBot="1" x14ac:dyDescent="0.3">
      <c r="A21" s="87" t="s">
        <v>165</v>
      </c>
      <c r="B21" s="89">
        <f>AVERAGE('Income statement'!G20:K20)</f>
        <v>16.326199005684249</v>
      </c>
    </row>
    <row r="22" spans="1:11" ht="16.5" thickTop="1" thickBot="1" x14ac:dyDescent="0.3">
      <c r="A22" s="90" t="s">
        <v>164</v>
      </c>
      <c r="B22" s="91">
        <f>'Income statement'!L20</f>
        <v>19.817968291250736</v>
      </c>
    </row>
    <row r="23" spans="1:11" ht="13.5" thickTop="1" x14ac:dyDescent="0.2">
      <c r="A23" s="47"/>
    </row>
  </sheetData>
  <mergeCells count="6">
    <mergeCell ref="A1:K1"/>
    <mergeCell ref="A2:K2"/>
    <mergeCell ref="A12:B13"/>
    <mergeCell ref="A14:A15"/>
    <mergeCell ref="B14:B15"/>
    <mergeCell ref="A4:B4"/>
  </mergeCells>
  <conditionalFormatting sqref="B10">
    <cfRule type="expression" dxfId="359" priority="8">
      <formula>$B$10&lt;500</formula>
    </cfRule>
  </conditionalFormatting>
  <conditionalFormatting sqref="B16">
    <cfRule type="expression" dxfId="358" priority="7">
      <formula>$B$16&lt;10%</formula>
    </cfRule>
  </conditionalFormatting>
  <conditionalFormatting sqref="B17">
    <cfRule type="expression" dxfId="357" priority="6">
      <formula>B17&lt;10%</formula>
    </cfRule>
  </conditionalFormatting>
  <conditionalFormatting sqref="B18">
    <cfRule type="expression" dxfId="356" priority="5">
      <formula>B18&lt;10%</formula>
    </cfRule>
  </conditionalFormatting>
  <conditionalFormatting sqref="B19">
    <cfRule type="expression" dxfId="355" priority="4">
      <formula>$B$19&gt;1</formula>
    </cfRule>
  </conditionalFormatting>
  <conditionalFormatting sqref="B20">
    <cfRule type="expression" dxfId="354" priority="3">
      <formula>$B$20&lt;15%</formula>
    </cfRule>
  </conditionalFormatting>
  <conditionalFormatting sqref="B22">
    <cfRule type="expression" dxfId="353" priority="1">
      <formula>$B$22&gt;$B$21</formula>
    </cfRule>
    <cfRule type="expression" dxfId="352" priority="2">
      <formula>$B$22&lt;=$B$21</formula>
    </cfRule>
  </conditionalFormatting>
  <hyperlinks>
    <hyperlink ref="A2" r:id="rId1"/>
  </hyperlinks>
  <pageMargins left="0.7" right="0.7" top="0.75" bottom="0.75" header="0.3" footer="0.3"/>
  <pageSetup orientation="landscape"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32"/>
  <sheetViews>
    <sheetView showGridLines="0" zoomScale="80" zoomScaleNormal="80" workbookViewId="0">
      <selection activeCell="F1" sqref="F1:H1"/>
    </sheetView>
  </sheetViews>
  <sheetFormatPr defaultRowHeight="15" x14ac:dyDescent="0.25"/>
  <cols>
    <col min="1" max="1" width="2.7109375" style="276" customWidth="1"/>
    <col min="2" max="8" width="9.140625" style="276"/>
    <col min="9" max="11" width="9.140625" style="276" customWidth="1"/>
    <col min="12" max="12" width="24.7109375" style="277" customWidth="1"/>
    <col min="13" max="13" width="9.140625" style="276" customWidth="1"/>
    <col min="14" max="14" width="9.42578125" style="276" customWidth="1"/>
    <col min="15" max="15" width="9.140625" style="276" bestFit="1" customWidth="1"/>
    <col min="16" max="20" width="9.28515625" style="276" bestFit="1" customWidth="1"/>
    <col min="21" max="21" width="8.85546875" style="276" bestFit="1" customWidth="1"/>
    <col min="22" max="22" width="9.28515625" style="276" bestFit="1" customWidth="1"/>
    <col min="23" max="23" width="7.7109375" style="276" bestFit="1" customWidth="1"/>
    <col min="24" max="24" width="9.42578125" style="276" bestFit="1" customWidth="1"/>
    <col min="25" max="16384" width="9.140625" style="276"/>
  </cols>
  <sheetData>
    <row r="1" spans="1:58" ht="15.75" customHeight="1" thickBot="1" x14ac:dyDescent="0.3">
      <c r="A1" s="886" t="str">
        <f>summary!A2</f>
        <v>http://www.investordiary.in/</v>
      </c>
      <c r="B1" s="886"/>
      <c r="C1" s="886"/>
      <c r="D1" s="886"/>
      <c r="E1" s="887"/>
      <c r="F1" s="871" t="str">
        <f>summary!B6</f>
        <v>AVANTI FEEDS LTD</v>
      </c>
      <c r="G1" s="871"/>
      <c r="H1" s="871"/>
      <c r="N1" s="875" t="s">
        <v>361</v>
      </c>
      <c r="O1" s="876"/>
      <c r="R1" s="877" t="s">
        <v>412</v>
      </c>
      <c r="S1" s="877"/>
      <c r="T1" s="877"/>
      <c r="U1" s="877"/>
      <c r="V1" s="877"/>
      <c r="W1" s="877"/>
    </row>
    <row r="2" spans="1:58" ht="15.75" customHeight="1" thickBot="1" x14ac:dyDescent="0.3">
      <c r="A2" s="886"/>
      <c r="B2" s="886"/>
      <c r="C2" s="886"/>
      <c r="D2" s="886"/>
      <c r="E2" s="887"/>
      <c r="F2" s="871" t="s">
        <v>328</v>
      </c>
      <c r="G2" s="871"/>
      <c r="H2" s="871"/>
      <c r="L2" s="421" t="s">
        <v>190</v>
      </c>
      <c r="P2" s="398" t="s">
        <v>190</v>
      </c>
      <c r="Q2" s="286"/>
      <c r="R2" s="877"/>
      <c r="S2" s="877"/>
      <c r="T2" s="877"/>
      <c r="U2" s="877"/>
      <c r="V2" s="877"/>
      <c r="W2" s="877"/>
    </row>
    <row r="3" spans="1:58" s="278" customFormat="1" ht="15.75" thickBot="1" x14ac:dyDescent="0.3">
      <c r="F3" s="279"/>
      <c r="G3" s="279"/>
      <c r="H3" s="279"/>
      <c r="L3" s="280"/>
      <c r="P3" s="372" t="s">
        <v>347</v>
      </c>
      <c r="Q3" s="286"/>
    </row>
    <row r="4" spans="1:58" x14ac:dyDescent="0.25">
      <c r="A4" s="855"/>
      <c r="B4" s="856"/>
      <c r="C4" s="856"/>
      <c r="D4" s="856"/>
      <c r="E4" s="856"/>
      <c r="F4" s="856"/>
      <c r="G4" s="856"/>
      <c r="H4" s="856"/>
      <c r="I4" s="856"/>
      <c r="J4" s="856"/>
      <c r="K4" s="856"/>
      <c r="L4" s="857"/>
    </row>
    <row r="5" spans="1:58" x14ac:dyDescent="0.25">
      <c r="A5" s="282">
        <v>1</v>
      </c>
      <c r="B5" s="889" t="s">
        <v>191</v>
      </c>
      <c r="C5" s="890"/>
      <c r="D5" s="890"/>
      <c r="E5" s="890"/>
      <c r="F5" s="890"/>
      <c r="G5" s="890"/>
      <c r="H5" s="890"/>
      <c r="I5" s="890"/>
      <c r="J5" s="890"/>
      <c r="K5" s="891"/>
      <c r="L5" s="283" t="str">
        <f>IF(Q5&gt;=500,"YES","NO")</f>
        <v>YES</v>
      </c>
      <c r="M5" s="872" t="str">
        <f>summary!A10</f>
        <v>Market Capitalization (Rs Crore)</v>
      </c>
      <c r="N5" s="872"/>
      <c r="O5" s="872"/>
      <c r="P5" s="874"/>
      <c r="Q5" s="261">
        <f>summary!B10</f>
        <v>7087.5</v>
      </c>
    </row>
    <row r="6" spans="1:58" ht="21.75" thickBot="1" x14ac:dyDescent="0.3">
      <c r="A6" s="284"/>
      <c r="B6" s="746" t="s">
        <v>291</v>
      </c>
      <c r="C6" s="745"/>
      <c r="D6" s="745"/>
      <c r="E6" s="745"/>
      <c r="F6" s="1"/>
      <c r="G6" s="1"/>
      <c r="H6" s="1"/>
      <c r="I6" s="1"/>
      <c r="J6" s="1"/>
      <c r="K6" s="1"/>
      <c r="L6" s="285"/>
      <c r="W6" s="74"/>
      <c r="X6" s="74"/>
    </row>
    <row r="7" spans="1:58" x14ac:dyDescent="0.25">
      <c r="A7" s="880"/>
      <c r="B7" s="881"/>
      <c r="C7" s="881"/>
      <c r="D7" s="881"/>
      <c r="E7" s="881"/>
      <c r="F7" s="881"/>
      <c r="G7" s="881"/>
      <c r="H7" s="881"/>
      <c r="I7" s="881"/>
      <c r="J7" s="881"/>
      <c r="K7" s="881"/>
      <c r="L7" s="882"/>
      <c r="M7" s="422">
        <f>'Data Sheet'!B16</f>
        <v>40633</v>
      </c>
      <c r="N7" s="422">
        <f>'Data Sheet'!C16</f>
        <v>40999</v>
      </c>
      <c r="O7" s="422">
        <f>'Data Sheet'!D16</f>
        <v>41364</v>
      </c>
      <c r="P7" s="422">
        <f>'Data Sheet'!E16</f>
        <v>41729</v>
      </c>
      <c r="Q7" s="422">
        <f>'Data Sheet'!F16</f>
        <v>42094</v>
      </c>
      <c r="R7" s="422">
        <f>'Data Sheet'!G16</f>
        <v>42460</v>
      </c>
      <c r="S7" s="422">
        <f>'Data Sheet'!H16</f>
        <v>42825</v>
      </c>
      <c r="T7" s="422">
        <f>'Data Sheet'!I16</f>
        <v>43190</v>
      </c>
      <c r="U7" s="422">
        <f>'Data Sheet'!J16</f>
        <v>43555</v>
      </c>
      <c r="V7" s="422">
        <f>'Data Sheet'!K16</f>
        <v>43921</v>
      </c>
      <c r="W7"/>
      <c r="X7"/>
    </row>
    <row r="8" spans="1:58" x14ac:dyDescent="0.25">
      <c r="A8" s="282">
        <v>2</v>
      </c>
      <c r="B8" s="860" t="s">
        <v>193</v>
      </c>
      <c r="C8" s="861"/>
      <c r="D8" s="861"/>
      <c r="E8" s="861"/>
      <c r="F8" s="861"/>
      <c r="G8" s="861"/>
      <c r="H8" s="861"/>
      <c r="I8" s="861"/>
      <c r="J8" s="861"/>
      <c r="K8" s="862"/>
      <c r="L8" s="283" t="str">
        <f>IF(SUM(M8:V8)&gt;0,"YES","NO")</f>
        <v>YES</v>
      </c>
      <c r="M8" s="524">
        <f>'Income statement'!B10</f>
        <v>9.89</v>
      </c>
      <c r="N8" s="524">
        <f>'Income statement'!C10</f>
        <v>44.08</v>
      </c>
      <c r="O8" s="524">
        <f>'Income statement'!D10</f>
        <v>48.06</v>
      </c>
      <c r="P8" s="524">
        <f>'Income statement'!E10</f>
        <v>109.56</v>
      </c>
      <c r="Q8" s="524">
        <f>'Income statement'!F10</f>
        <v>182.51</v>
      </c>
      <c r="R8" s="524">
        <f>'Income statement'!G10</f>
        <v>241.56</v>
      </c>
      <c r="S8" s="524">
        <f>'Income statement'!H10</f>
        <v>341.88</v>
      </c>
      <c r="T8" s="524">
        <f>'Income statement'!I10</f>
        <v>709.29</v>
      </c>
      <c r="U8" s="524">
        <f>'Income statement'!J10</f>
        <v>432.96000000000004</v>
      </c>
      <c r="V8" s="524">
        <f>'Income statement'!K10</f>
        <v>489.24</v>
      </c>
      <c r="W8"/>
      <c r="X8"/>
      <c r="BF8" s="276" t="s">
        <v>353</v>
      </c>
    </row>
    <row r="9" spans="1:58" x14ac:dyDescent="0.25">
      <c r="A9" s="863"/>
      <c r="B9" s="864"/>
      <c r="C9" s="864"/>
      <c r="D9" s="864"/>
      <c r="E9" s="864"/>
      <c r="F9" s="864"/>
      <c r="G9" s="864"/>
      <c r="H9" s="864"/>
      <c r="I9" s="864"/>
      <c r="J9" s="864"/>
      <c r="K9" s="864"/>
      <c r="L9" s="865"/>
      <c r="M9" s="287"/>
      <c r="N9" s="287"/>
      <c r="O9" s="287"/>
      <c r="P9" s="287"/>
      <c r="Q9" s="287"/>
      <c r="R9" s="287"/>
      <c r="S9" s="287"/>
      <c r="T9" s="287"/>
      <c r="U9" s="287"/>
      <c r="V9" s="287"/>
      <c r="BF9" s="276" t="s">
        <v>348</v>
      </c>
    </row>
    <row r="10" spans="1:58" x14ac:dyDescent="0.25">
      <c r="A10" s="282">
        <v>3</v>
      </c>
      <c r="B10" s="860" t="s">
        <v>194</v>
      </c>
      <c r="C10" s="861"/>
      <c r="D10" s="861"/>
      <c r="E10" s="861"/>
      <c r="F10" s="861"/>
      <c r="G10" s="861"/>
      <c r="H10" s="861"/>
      <c r="I10" s="861"/>
      <c r="J10" s="861"/>
      <c r="K10" s="862"/>
      <c r="L10" s="283" t="str">
        <f>IF(SUM(M10:V10)&gt;0,"YES","NO")</f>
        <v>YES</v>
      </c>
      <c r="M10" s="524">
        <f>'Cash Flow'!B4</f>
        <v>-7.72</v>
      </c>
      <c r="N10" s="525">
        <f>'Cash Flow'!C4</f>
        <v>50.38</v>
      </c>
      <c r="O10" s="525">
        <f>'Cash Flow'!D4</f>
        <v>-20.55</v>
      </c>
      <c r="P10" s="525">
        <f>'Cash Flow'!E4</f>
        <v>55.56</v>
      </c>
      <c r="Q10" s="525">
        <f>'Cash Flow'!F4</f>
        <v>89.34</v>
      </c>
      <c r="R10" s="525">
        <f>'Cash Flow'!G4</f>
        <v>122</v>
      </c>
      <c r="S10" s="525">
        <f>'Cash Flow'!H4</f>
        <v>277.75</v>
      </c>
      <c r="T10" s="525">
        <f>'Cash Flow'!I4</f>
        <v>280.93</v>
      </c>
      <c r="U10" s="525">
        <f>'Cash Flow'!J4</f>
        <v>183.76</v>
      </c>
      <c r="V10" s="525">
        <f>'Cash Flow'!K4</f>
        <v>125.09</v>
      </c>
      <c r="BF10" s="276" t="s">
        <v>349</v>
      </c>
    </row>
    <row r="11" spans="1:58" x14ac:dyDescent="0.25">
      <c r="A11" s="863"/>
      <c r="B11" s="864"/>
      <c r="C11" s="864"/>
      <c r="D11" s="864"/>
      <c r="E11" s="864"/>
      <c r="F11" s="864"/>
      <c r="G11" s="864"/>
      <c r="H11" s="864"/>
      <c r="I11" s="864"/>
      <c r="J11" s="864"/>
      <c r="K11" s="864"/>
      <c r="L11" s="865"/>
      <c r="M11" s="287"/>
      <c r="N11" s="287"/>
      <c r="O11" s="287"/>
      <c r="P11" s="287"/>
      <c r="Q11" s="287"/>
      <c r="R11" s="287"/>
      <c r="S11" s="287"/>
      <c r="T11" s="287"/>
      <c r="U11" s="287"/>
      <c r="V11" s="287"/>
      <c r="BF11" s="276" t="s">
        <v>350</v>
      </c>
    </row>
    <row r="12" spans="1:58" x14ac:dyDescent="0.25">
      <c r="A12" s="282">
        <v>4</v>
      </c>
      <c r="B12" s="889" t="s">
        <v>195</v>
      </c>
      <c r="C12" s="890"/>
      <c r="D12" s="890"/>
      <c r="E12" s="890"/>
      <c r="F12" s="890"/>
      <c r="G12" s="890"/>
      <c r="H12" s="890"/>
      <c r="I12" s="890"/>
      <c r="J12" s="890"/>
      <c r="K12" s="891"/>
      <c r="L12" s="283" t="str">
        <f>IF(AVERAGE(M12:V12)&gt;=15%,"YES","NO")</f>
        <v>YES</v>
      </c>
      <c r="M12" s="740">
        <f>Profitability!B18</f>
        <v>4.8906789413118518E-2</v>
      </c>
      <c r="N12" s="741">
        <f>Profitability!C18</f>
        <v>0.29964747356051707</v>
      </c>
      <c r="O12" s="741">
        <f>Profitability!D18</f>
        <v>0.24020783373301363</v>
      </c>
      <c r="P12" s="741">
        <f>Profitability!E18</f>
        <v>0.39210335802194124</v>
      </c>
      <c r="Q12" s="741">
        <f>Profitability!F18</f>
        <v>0.43695578423611903</v>
      </c>
      <c r="R12" s="741">
        <f>Profitability!G18</f>
        <v>0.37252536720357626</v>
      </c>
      <c r="S12" s="741">
        <f>Profitability!H18</f>
        <v>0.33939756381605857</v>
      </c>
      <c r="T12" s="741">
        <f>Profitability!I18</f>
        <v>0.43284406871679526</v>
      </c>
      <c r="U12" s="741">
        <f>Profitability!J18</f>
        <v>0.22689807290457398</v>
      </c>
      <c r="V12" s="741">
        <f>Profitability!K18</f>
        <v>0.24684401003077625</v>
      </c>
      <c r="BF12" s="276" t="s">
        <v>351</v>
      </c>
    </row>
    <row r="13" spans="1:58" x14ac:dyDescent="0.25">
      <c r="A13" s="863"/>
      <c r="B13" s="864"/>
      <c r="C13" s="864"/>
      <c r="D13" s="864"/>
      <c r="E13" s="864"/>
      <c r="F13" s="864"/>
      <c r="G13" s="864"/>
      <c r="H13" s="864"/>
      <c r="I13" s="864"/>
      <c r="J13" s="864"/>
      <c r="K13" s="864"/>
      <c r="L13" s="865"/>
      <c r="M13" s="287"/>
      <c r="N13" s="287"/>
      <c r="O13" s="287"/>
      <c r="P13" s="287"/>
      <c r="Q13" s="287"/>
      <c r="R13" s="287"/>
      <c r="S13" s="287"/>
      <c r="T13" s="287"/>
      <c r="U13" s="287"/>
      <c r="V13" s="287"/>
      <c r="BF13" s="276" t="s">
        <v>352</v>
      </c>
    </row>
    <row r="14" spans="1:58" x14ac:dyDescent="0.25">
      <c r="A14" s="282">
        <v>5</v>
      </c>
      <c r="B14" s="889" t="s">
        <v>196</v>
      </c>
      <c r="C14" s="890"/>
      <c r="D14" s="890"/>
      <c r="E14" s="890"/>
      <c r="F14" s="890"/>
      <c r="G14" s="890"/>
      <c r="H14" s="890"/>
      <c r="I14" s="890"/>
      <c r="J14" s="890"/>
      <c r="K14" s="891"/>
      <c r="L14" s="420" t="s">
        <v>355</v>
      </c>
      <c r="M14" s="423"/>
      <c r="N14" s="417">
        <f>'Income statement'!C17</f>
        <v>7.25</v>
      </c>
      <c r="O14" s="417">
        <f>'Income statement'!D17</f>
        <v>7.1301247771835996E-2</v>
      </c>
      <c r="P14" s="417">
        <f>'Income statement'!E17</f>
        <v>1.3430948419301165</v>
      </c>
      <c r="Q14" s="417">
        <f>'Income statement'!F17</f>
        <v>0.64635705155517686</v>
      </c>
      <c r="R14" s="417">
        <f>'Income statement'!G17</f>
        <v>0.35869565217391308</v>
      </c>
      <c r="S14" s="417">
        <f>'Income statement'!H17</f>
        <v>0.36926984126984119</v>
      </c>
      <c r="T14" s="417">
        <f>'Income statement'!I17</f>
        <v>1.0702494667532227</v>
      </c>
      <c r="U14" s="417">
        <f>'Income statement'!J17</f>
        <v>-0.38712567473738446</v>
      </c>
      <c r="V14" s="417">
        <f>'Income statement'!K17</f>
        <v>0.26627197310236461</v>
      </c>
    </row>
    <row r="15" spans="1:58" customFormat="1" x14ac:dyDescent="0.25">
      <c r="A15" s="883"/>
      <c r="B15" s="884"/>
      <c r="C15" s="884"/>
      <c r="D15" s="884"/>
      <c r="E15" s="884"/>
      <c r="F15" s="884"/>
      <c r="G15" s="884"/>
      <c r="H15" s="884"/>
      <c r="I15" s="884"/>
      <c r="J15" s="884"/>
      <c r="K15" s="884"/>
      <c r="L15" s="885"/>
      <c r="M15" s="878" t="s">
        <v>598</v>
      </c>
      <c r="N15" s="879"/>
      <c r="O15" s="738" t="s">
        <v>597</v>
      </c>
      <c r="P15" s="742">
        <f>Growth!H13</f>
        <v>0.17122509207944137</v>
      </c>
      <c r="Q15" s="738" t="s">
        <v>596</v>
      </c>
      <c r="R15" s="742">
        <f>Growth!I13</f>
        <v>0.24481973968759618</v>
      </c>
      <c r="S15" s="738" t="s">
        <v>595</v>
      </c>
      <c r="T15" s="742">
        <f>Growth!J13</f>
        <v>0.4180525278322047</v>
      </c>
      <c r="U15" s="738" t="s">
        <v>594</v>
      </c>
      <c r="V15" s="742">
        <f>Growth!K13</f>
        <v>0.67160877819603737</v>
      </c>
    </row>
    <row r="16" spans="1:58" x14ac:dyDescent="0.25">
      <c r="A16" s="880"/>
      <c r="B16" s="881"/>
      <c r="C16" s="881"/>
      <c r="D16" s="881"/>
      <c r="E16" s="881"/>
      <c r="F16" s="881"/>
      <c r="G16" s="881"/>
      <c r="H16" s="881"/>
      <c r="I16" s="881"/>
      <c r="J16" s="881"/>
      <c r="K16" s="881"/>
      <c r="L16" s="882"/>
      <c r="AY16" s="276" t="s">
        <v>357</v>
      </c>
    </row>
    <row r="17" spans="1:57" x14ac:dyDescent="0.25">
      <c r="A17" s="282">
        <v>6</v>
      </c>
      <c r="B17" s="889" t="s">
        <v>198</v>
      </c>
      <c r="C17" s="890"/>
      <c r="D17" s="890"/>
      <c r="E17" s="890"/>
      <c r="F17" s="890"/>
      <c r="G17" s="890"/>
      <c r="H17" s="890"/>
      <c r="I17" s="890"/>
      <c r="J17" s="890"/>
      <c r="K17" s="891"/>
      <c r="L17" s="420" t="s">
        <v>348</v>
      </c>
      <c r="M17" s="872" t="s">
        <v>213</v>
      </c>
      <c r="N17" s="873"/>
      <c r="O17" s="873"/>
      <c r="P17" s="383">
        <f>'Financial Health'!D3</f>
        <v>1.3393009802804059</v>
      </c>
      <c r="Q17" s="873" t="s">
        <v>214</v>
      </c>
      <c r="R17" s="873"/>
      <c r="S17" s="873"/>
      <c r="T17" s="418">
        <f>'Financial Health'!D4</f>
        <v>1.1184885443975836E-3</v>
      </c>
      <c r="U17" s="663" t="s">
        <v>486</v>
      </c>
      <c r="V17" s="654">
        <f>'Financial Health'!D5</f>
        <v>264.02162162162159</v>
      </c>
      <c r="AY17" s="276" t="s">
        <v>358</v>
      </c>
    </row>
    <row r="18" spans="1:57" x14ac:dyDescent="0.25">
      <c r="A18" s="284"/>
      <c r="B18" s="892" t="s">
        <v>199</v>
      </c>
      <c r="C18" s="892"/>
      <c r="D18" s="892"/>
      <c r="E18" s="892"/>
      <c r="F18" s="892"/>
      <c r="G18" s="892"/>
      <c r="H18" s="892"/>
      <c r="I18" s="892"/>
      <c r="J18" s="892"/>
      <c r="K18" s="892"/>
      <c r="L18" s="893"/>
      <c r="AY18" s="276" t="s">
        <v>359</v>
      </c>
    </row>
    <row r="19" spans="1:57" x14ac:dyDescent="0.25">
      <c r="A19" s="288" t="s">
        <v>200</v>
      </c>
      <c r="B19" s="860" t="s">
        <v>201</v>
      </c>
      <c r="C19" s="861"/>
      <c r="D19" s="861"/>
      <c r="E19" s="861"/>
      <c r="F19" s="861"/>
      <c r="G19" s="861"/>
      <c r="H19" s="861"/>
      <c r="I19" s="861"/>
      <c r="J19" s="861"/>
      <c r="K19" s="862"/>
      <c r="L19" s="283" t="str">
        <f>L14</f>
        <v>CONSISTENT</v>
      </c>
      <c r="AY19" s="276" t="s">
        <v>355</v>
      </c>
    </row>
    <row r="20" spans="1:57" x14ac:dyDescent="0.25">
      <c r="A20" s="894"/>
      <c r="B20" s="861"/>
      <c r="C20" s="861"/>
      <c r="D20" s="861"/>
      <c r="E20" s="861"/>
      <c r="F20" s="861"/>
      <c r="G20" s="861"/>
      <c r="H20" s="861"/>
      <c r="I20" s="861"/>
      <c r="J20" s="861"/>
      <c r="K20" s="861"/>
      <c r="L20" s="895"/>
      <c r="AY20" s="276" t="s">
        <v>356</v>
      </c>
    </row>
    <row r="21" spans="1:57" x14ac:dyDescent="0.25">
      <c r="A21" s="288" t="s">
        <v>202</v>
      </c>
      <c r="B21" s="860" t="s">
        <v>203</v>
      </c>
      <c r="C21" s="861"/>
      <c r="D21" s="861"/>
      <c r="E21" s="861"/>
      <c r="F21" s="861"/>
      <c r="G21" s="861"/>
      <c r="H21" s="861"/>
      <c r="I21" s="861"/>
      <c r="J21" s="861"/>
      <c r="K21" s="862"/>
      <c r="L21" s="283" t="str">
        <f>IF((V21-R21)&lt;0,"GOING DOWN","GOING UP")</f>
        <v>GOING DOWN</v>
      </c>
      <c r="M21" s="424">
        <f>'Financial Health'!C13</f>
        <v>0.36205291849488103</v>
      </c>
      <c r="N21" s="289">
        <f>'Financial Health'!D13</f>
        <v>0.27158667543282927</v>
      </c>
      <c r="O21" s="289">
        <f>'Financial Health'!E13</f>
        <v>0.24619105199516325</v>
      </c>
      <c r="P21" s="289">
        <f>'Financial Health'!F13</f>
        <v>0.1408811346805573</v>
      </c>
      <c r="Q21" s="289">
        <f>'Financial Health'!G13</f>
        <v>0.12228317768750785</v>
      </c>
      <c r="R21" s="289">
        <f>'Financial Health'!H13</f>
        <v>1.7202055894635401E-2</v>
      </c>
      <c r="S21" s="289">
        <f>'Financial Health'!I13</f>
        <v>1.8022907620901332E-2</v>
      </c>
      <c r="T21" s="289">
        <f>'Financial Health'!J13</f>
        <v>4.5011990093431001E-3</v>
      </c>
      <c r="U21" s="289">
        <f>'Financial Health'!K13</f>
        <v>5.7839263818877645E-3</v>
      </c>
      <c r="V21" s="289">
        <f>'Financial Health'!L13</f>
        <v>8.3512859384558098E-4</v>
      </c>
      <c r="AY21" s="276" t="s">
        <v>354</v>
      </c>
    </row>
    <row r="22" spans="1:57" x14ac:dyDescent="0.25">
      <c r="A22" s="863"/>
      <c r="B22" s="864"/>
      <c r="C22" s="864"/>
      <c r="D22" s="864"/>
      <c r="E22" s="864"/>
      <c r="F22" s="864"/>
      <c r="G22" s="864"/>
      <c r="H22" s="864"/>
      <c r="I22" s="864"/>
      <c r="J22" s="864"/>
      <c r="K22" s="864"/>
      <c r="L22" s="865"/>
    </row>
    <row r="23" spans="1:57" ht="15.75" thickBot="1" x14ac:dyDescent="0.3">
      <c r="A23" s="290" t="s">
        <v>204</v>
      </c>
      <c r="B23" s="896" t="s">
        <v>205</v>
      </c>
      <c r="C23" s="897"/>
      <c r="D23" s="897"/>
      <c r="E23" s="897"/>
      <c r="F23" s="897"/>
      <c r="G23" s="897"/>
      <c r="H23" s="897"/>
      <c r="I23" s="897"/>
      <c r="J23" s="897"/>
      <c r="K23" s="898"/>
      <c r="L23" s="419" t="s">
        <v>192</v>
      </c>
      <c r="S23" s="888" t="s">
        <v>248</v>
      </c>
      <c r="T23" s="878"/>
      <c r="U23" s="879"/>
      <c r="V23" s="739">
        <f>Profitability!B38</f>
        <v>4.2950273200269333E-2</v>
      </c>
      <c r="BE23" s="276" t="s">
        <v>192</v>
      </c>
    </row>
    <row r="24" spans="1:57" x14ac:dyDescent="0.25">
      <c r="A24" s="855"/>
      <c r="B24" s="856"/>
      <c r="C24" s="856"/>
      <c r="D24" s="856"/>
      <c r="E24" s="856"/>
      <c r="F24" s="856"/>
      <c r="G24" s="856"/>
      <c r="H24" s="856"/>
      <c r="I24" s="856"/>
      <c r="J24" s="856"/>
      <c r="K24" s="856"/>
      <c r="L24" s="857"/>
      <c r="BE24" s="276" t="s">
        <v>209</v>
      </c>
    </row>
    <row r="25" spans="1:57" x14ac:dyDescent="0.25">
      <c r="A25" s="282">
        <v>7</v>
      </c>
      <c r="B25" s="860" t="s">
        <v>206</v>
      </c>
      <c r="C25" s="861"/>
      <c r="D25" s="861"/>
      <c r="E25" s="861"/>
      <c r="F25" s="861"/>
      <c r="G25" s="861"/>
      <c r="H25" s="861"/>
      <c r="I25" s="861"/>
      <c r="J25" s="861"/>
      <c r="K25" s="862"/>
      <c r="L25" s="283" t="str">
        <f>IF(SUM(N25:V25)&gt;0,"YES","NO")</f>
        <v>YES</v>
      </c>
      <c r="M25" s="425"/>
      <c r="N25" s="221">
        <f>'Cash Flow'!C12</f>
        <v>39.519999999999996</v>
      </c>
      <c r="O25" s="221">
        <f>'Cash Flow'!D12</f>
        <v>-33.21</v>
      </c>
      <c r="P25" s="221">
        <f>'Cash Flow'!E12</f>
        <v>20.14</v>
      </c>
      <c r="Q25" s="221">
        <f>'Cash Flow'!F12</f>
        <v>73.29000000000002</v>
      </c>
      <c r="R25" s="221">
        <f>'Cash Flow'!G12</f>
        <v>55.730000000000004</v>
      </c>
      <c r="S25" s="221">
        <f>'Cash Flow'!H12</f>
        <v>155.13</v>
      </c>
      <c r="T25" s="221">
        <f>'Cash Flow'!I12</f>
        <v>197.59999999999997</v>
      </c>
      <c r="U25" s="221">
        <f>'Cash Flow'!J12</f>
        <v>160.49000000000004</v>
      </c>
      <c r="V25" s="221">
        <f>'Cash Flow'!K12</f>
        <v>92.159999999999968</v>
      </c>
      <c r="AX25" s="276" t="s">
        <v>355</v>
      </c>
    </row>
    <row r="26" spans="1:57" x14ac:dyDescent="0.25">
      <c r="A26" s="863"/>
      <c r="B26" s="864"/>
      <c r="C26" s="864"/>
      <c r="D26" s="864"/>
      <c r="E26" s="864"/>
      <c r="F26" s="864"/>
      <c r="G26" s="864"/>
      <c r="H26" s="864"/>
      <c r="I26" s="864"/>
      <c r="J26" s="864"/>
      <c r="K26" s="864"/>
      <c r="L26" s="865"/>
      <c r="AX26" s="276" t="s">
        <v>197</v>
      </c>
    </row>
    <row r="27" spans="1:57" x14ac:dyDescent="0.25">
      <c r="A27" s="282">
        <v>8</v>
      </c>
      <c r="B27" s="860" t="s">
        <v>207</v>
      </c>
      <c r="C27" s="861"/>
      <c r="D27" s="861"/>
      <c r="E27" s="861"/>
      <c r="F27" s="861"/>
      <c r="G27" s="861"/>
      <c r="H27" s="861"/>
      <c r="I27" s="861"/>
      <c r="J27" s="861"/>
      <c r="K27" s="862"/>
      <c r="L27" s="420" t="s">
        <v>357</v>
      </c>
      <c r="O27" s="527">
        <f t="shared" ref="O27:X27" si="0">M7</f>
        <v>40633</v>
      </c>
      <c r="P27" s="527">
        <f t="shared" si="0"/>
        <v>40999</v>
      </c>
      <c r="Q27" s="527">
        <f t="shared" si="0"/>
        <v>41364</v>
      </c>
      <c r="R27" s="527">
        <f t="shared" si="0"/>
        <v>41729</v>
      </c>
      <c r="S27" s="527">
        <f t="shared" si="0"/>
        <v>42094</v>
      </c>
      <c r="T27" s="527">
        <f t="shared" si="0"/>
        <v>42460</v>
      </c>
      <c r="U27" s="527">
        <f t="shared" si="0"/>
        <v>42825</v>
      </c>
      <c r="V27" s="527">
        <f t="shared" si="0"/>
        <v>43190</v>
      </c>
      <c r="W27" s="527">
        <f t="shared" si="0"/>
        <v>43555</v>
      </c>
      <c r="X27" s="527">
        <f t="shared" si="0"/>
        <v>43921</v>
      </c>
      <c r="AX27" s="276" t="s">
        <v>354</v>
      </c>
    </row>
    <row r="28" spans="1:57" x14ac:dyDescent="0.25">
      <c r="A28" s="863"/>
      <c r="B28" s="864"/>
      <c r="C28" s="864"/>
      <c r="D28" s="864"/>
      <c r="E28" s="864"/>
      <c r="F28" s="864"/>
      <c r="G28" s="864"/>
      <c r="H28" s="864"/>
      <c r="I28" s="864"/>
      <c r="J28" s="864"/>
      <c r="K28" s="864"/>
      <c r="L28" s="865"/>
      <c r="M28" s="426" t="s">
        <v>360</v>
      </c>
      <c r="N28" s="221">
        <f>(W29-O29)*(10^7)</f>
        <v>128245630</v>
      </c>
      <c r="O28" s="361" t="s">
        <v>329</v>
      </c>
      <c r="P28" s="254">
        <f>(P29-O29)/O29</f>
        <v>0</v>
      </c>
      <c r="Q28" s="254">
        <f t="shared" ref="Q28:X28" si="1">(Q29-P29)/P29</f>
        <v>0.13538024999999995</v>
      </c>
      <c r="R28" s="254">
        <f t="shared" si="1"/>
        <v>0</v>
      </c>
      <c r="S28" s="254">
        <f t="shared" si="1"/>
        <v>0</v>
      </c>
      <c r="T28" s="254">
        <f t="shared" si="1"/>
        <v>4.0000000000000009</v>
      </c>
      <c r="U28" s="254">
        <f t="shared" si="1"/>
        <v>0</v>
      </c>
      <c r="V28" s="254">
        <f t="shared" si="1"/>
        <v>0</v>
      </c>
      <c r="W28" s="254">
        <f t="shared" si="1"/>
        <v>1.9999999999999996</v>
      </c>
      <c r="X28" s="254">
        <f t="shared" si="1"/>
        <v>0</v>
      </c>
    </row>
    <row r="29" spans="1:57" ht="15.75" thickBot="1" x14ac:dyDescent="0.3">
      <c r="A29" s="291">
        <v>9</v>
      </c>
      <c r="B29" s="868" t="s">
        <v>208</v>
      </c>
      <c r="C29" s="869"/>
      <c r="D29" s="869"/>
      <c r="E29" s="869"/>
      <c r="F29" s="869"/>
      <c r="G29" s="869"/>
      <c r="H29" s="869"/>
      <c r="I29" s="869"/>
      <c r="J29" s="869"/>
      <c r="K29" s="870"/>
      <c r="L29" s="427" t="str">
        <f>IF(W29&gt;O29,"YES","NO")</f>
        <v>YES</v>
      </c>
      <c r="M29" s="426" t="str">
        <f>'Data Sheet'!A70</f>
        <v>No. of Equity Shares</v>
      </c>
      <c r="N29" s="296"/>
      <c r="O29" s="289">
        <f>'Data Sheet'!B70/(10^7)</f>
        <v>0.8</v>
      </c>
      <c r="P29" s="289">
        <f>'Data Sheet'!C70/(10^7)</f>
        <v>0.8</v>
      </c>
      <c r="Q29" s="289">
        <f>'Data Sheet'!D70/(10^7)</f>
        <v>0.90830420000000001</v>
      </c>
      <c r="R29" s="289">
        <f>'Data Sheet'!E70/(10^7)</f>
        <v>0.90830420000000001</v>
      </c>
      <c r="S29" s="289">
        <f>'Data Sheet'!F70/(10^7)</f>
        <v>0.90830420000000001</v>
      </c>
      <c r="T29" s="289">
        <f>'Data Sheet'!G70/(10^7)</f>
        <v>4.5415210000000004</v>
      </c>
      <c r="U29" s="289">
        <f>'Data Sheet'!H70/(10^7)</f>
        <v>4.5415210000000004</v>
      </c>
      <c r="V29" s="289">
        <f>'Data Sheet'!I70/(10^7)</f>
        <v>4.5415210000000004</v>
      </c>
      <c r="W29" s="289">
        <f>'Data Sheet'!J70/(10^7)</f>
        <v>13.624563</v>
      </c>
      <c r="X29" s="289">
        <f>'Data Sheet'!K70/(10^7)</f>
        <v>13.624563</v>
      </c>
    </row>
    <row r="30" spans="1:57" x14ac:dyDescent="0.25">
      <c r="A30" s="281"/>
      <c r="B30" s="866" t="s">
        <v>210</v>
      </c>
      <c r="C30" s="866"/>
      <c r="D30" s="866"/>
      <c r="E30" s="866"/>
      <c r="F30" s="866"/>
      <c r="G30" s="866"/>
      <c r="H30" s="866"/>
      <c r="I30" s="866"/>
      <c r="J30" s="866"/>
      <c r="K30" s="866"/>
      <c r="L30" s="867"/>
      <c r="M30" s="426" t="str">
        <f>'Data Sheet'!A71</f>
        <v>New Bonus Shares</v>
      </c>
      <c r="N30" s="296"/>
      <c r="O30" s="221">
        <f>'Data Sheet'!B71</f>
        <v>0</v>
      </c>
      <c r="P30" s="221">
        <f>'Data Sheet'!C71</f>
        <v>0</v>
      </c>
      <c r="Q30" s="221">
        <f>'Data Sheet'!D71</f>
        <v>0</v>
      </c>
      <c r="R30" s="221">
        <f>'Data Sheet'!E71</f>
        <v>0</v>
      </c>
      <c r="S30" s="221">
        <f>'Data Sheet'!F71</f>
        <v>0</v>
      </c>
      <c r="T30" s="221">
        <f>'Data Sheet'!G71</f>
        <v>0</v>
      </c>
      <c r="U30" s="221">
        <f>'Data Sheet'!H71</f>
        <v>0</v>
      </c>
      <c r="V30" s="221">
        <f>'Data Sheet'!I71</f>
        <v>0</v>
      </c>
      <c r="W30" s="221">
        <f>'Data Sheet'!J71</f>
        <v>0</v>
      </c>
      <c r="X30" s="221">
        <f>'Data Sheet'!K71</f>
        <v>0</v>
      </c>
    </row>
    <row r="31" spans="1:57" ht="15.75" thickBot="1" x14ac:dyDescent="0.3">
      <c r="A31" s="292"/>
      <c r="B31" s="858" t="s">
        <v>211</v>
      </c>
      <c r="C31" s="858"/>
      <c r="D31" s="858"/>
      <c r="E31" s="858"/>
      <c r="F31" s="858"/>
      <c r="G31" s="858"/>
      <c r="H31" s="858"/>
      <c r="I31" s="858"/>
      <c r="J31" s="858"/>
      <c r="K31" s="858"/>
      <c r="L31" s="859"/>
      <c r="M31" s="426" t="str">
        <f>'Data Sheet'!A72</f>
        <v>Face value</v>
      </c>
      <c r="N31" s="296"/>
      <c r="O31" s="221">
        <f>'Data Sheet'!B72</f>
        <v>10</v>
      </c>
      <c r="P31" s="221">
        <f>'Data Sheet'!C72</f>
        <v>10</v>
      </c>
      <c r="Q31" s="221">
        <f>'Data Sheet'!D72</f>
        <v>10</v>
      </c>
      <c r="R31" s="221">
        <f>'Data Sheet'!E72</f>
        <v>10</v>
      </c>
      <c r="S31" s="221">
        <f>'Data Sheet'!F72</f>
        <v>10</v>
      </c>
      <c r="T31" s="221">
        <f>'Data Sheet'!G72</f>
        <v>2</v>
      </c>
      <c r="U31" s="221">
        <f>'Data Sheet'!H72</f>
        <v>2</v>
      </c>
      <c r="V31" s="221">
        <f>'Data Sheet'!I72</f>
        <v>2</v>
      </c>
      <c r="W31" s="221">
        <f>'Data Sheet'!J72</f>
        <v>1</v>
      </c>
      <c r="X31" s="221">
        <f>'Data Sheet'!K72</f>
        <v>1</v>
      </c>
    </row>
    <row r="32" spans="1:57" s="1" customFormat="1" x14ac:dyDescent="0.25">
      <c r="L32" s="286"/>
    </row>
  </sheetData>
  <mergeCells count="37">
    <mergeCell ref="S23:U23"/>
    <mergeCell ref="B5:K5"/>
    <mergeCell ref="B8:K8"/>
    <mergeCell ref="B10:K10"/>
    <mergeCell ref="B12:K12"/>
    <mergeCell ref="B14:K14"/>
    <mergeCell ref="B17:K17"/>
    <mergeCell ref="B19:K19"/>
    <mergeCell ref="B18:L18"/>
    <mergeCell ref="A20:L20"/>
    <mergeCell ref="B21:K21"/>
    <mergeCell ref="A22:L22"/>
    <mergeCell ref="B23:K23"/>
    <mergeCell ref="F1:H1"/>
    <mergeCell ref="F2:H2"/>
    <mergeCell ref="M17:O17"/>
    <mergeCell ref="Q17:S17"/>
    <mergeCell ref="M5:P5"/>
    <mergeCell ref="N1:O1"/>
    <mergeCell ref="R1:W2"/>
    <mergeCell ref="M15:N15"/>
    <mergeCell ref="A4:L4"/>
    <mergeCell ref="A7:L7"/>
    <mergeCell ref="A9:L9"/>
    <mergeCell ref="A11:L11"/>
    <mergeCell ref="A13:L13"/>
    <mergeCell ref="A15:L15"/>
    <mergeCell ref="A16:L16"/>
    <mergeCell ref="A1:E2"/>
    <mergeCell ref="A24:L24"/>
    <mergeCell ref="B31:L31"/>
    <mergeCell ref="B25:K25"/>
    <mergeCell ref="A26:L26"/>
    <mergeCell ref="B27:K27"/>
    <mergeCell ref="A28:L28"/>
    <mergeCell ref="B30:L30"/>
    <mergeCell ref="B29:K29"/>
  </mergeCells>
  <conditionalFormatting sqref="L5">
    <cfRule type="expression" dxfId="351" priority="47">
      <formula>$Q$5&lt;500</formula>
    </cfRule>
    <cfRule type="expression" dxfId="350" priority="48">
      <formula>$Q$5&gt;500</formula>
    </cfRule>
  </conditionalFormatting>
  <conditionalFormatting sqref="L8">
    <cfRule type="expression" dxfId="349" priority="44">
      <formula>SUM($M$8:$V$8)&lt;=0</formula>
    </cfRule>
    <cfRule type="expression" dxfId="348" priority="45">
      <formula>SUM($M$8:$V$8)&gt;0</formula>
    </cfRule>
    <cfRule type="expression" dxfId="347" priority="46">
      <formula>SUM($M$8:$V$8)&gt;O</formula>
    </cfRule>
  </conditionalFormatting>
  <conditionalFormatting sqref="L10">
    <cfRule type="expression" dxfId="346" priority="36">
      <formula>SUM($M$10:$V$10)&lt;=0</formula>
    </cfRule>
    <cfRule type="expression" dxfId="345" priority="37">
      <formula>SUM($M$10:$V$10)&gt;0</formula>
    </cfRule>
    <cfRule type="expression" dxfId="344" priority="38">
      <formula>SUM($M$8:$V$8)&lt;=0</formula>
    </cfRule>
    <cfRule type="expression" dxfId="343" priority="39">
      <formula>SUM($M$8:$V$8)&gt;0</formula>
    </cfRule>
    <cfRule type="expression" dxfId="342" priority="40">
      <formula>SUM($M$8:$V$8)&gt;O</formula>
    </cfRule>
  </conditionalFormatting>
  <conditionalFormatting sqref="L12">
    <cfRule type="expression" dxfId="341" priority="34">
      <formula>AVERAGE($M$12:$V$12)&lt;15%</formula>
    </cfRule>
    <cfRule type="expression" dxfId="340" priority="35">
      <formula>AVERAGE($M$12:$V$12)&gt;=15%</formula>
    </cfRule>
  </conditionalFormatting>
  <conditionalFormatting sqref="M8:V8">
    <cfRule type="expression" dxfId="339" priority="32">
      <formula>M8&lt;=0</formula>
    </cfRule>
    <cfRule type="expression" dxfId="338" priority="33">
      <formula>M8&lt;0</formula>
    </cfRule>
  </conditionalFormatting>
  <conditionalFormatting sqref="M10:V10">
    <cfRule type="expression" dxfId="337" priority="28">
      <formula>M10&lt;=0</formula>
    </cfRule>
    <cfRule type="expression" dxfId="336" priority="29">
      <formula>M10&lt;0</formula>
    </cfRule>
  </conditionalFormatting>
  <conditionalFormatting sqref="N14:V14">
    <cfRule type="expression" dxfId="335" priority="27">
      <formula>N14&lt;=0</formula>
    </cfRule>
  </conditionalFormatting>
  <conditionalFormatting sqref="M12">
    <cfRule type="expression" dxfId="334" priority="25">
      <formula>M12&lt;15%</formula>
    </cfRule>
  </conditionalFormatting>
  <conditionalFormatting sqref="N12:V12">
    <cfRule type="expression" dxfId="333" priority="24">
      <formula>N12&lt;15%</formula>
    </cfRule>
  </conditionalFormatting>
  <conditionalFormatting sqref="P17">
    <cfRule type="expression" dxfId="332" priority="7">
      <formula>$P$17&lt;0</formula>
    </cfRule>
    <cfRule type="expression" dxfId="331" priority="23">
      <formula>$P$17&gt;=4</formula>
    </cfRule>
  </conditionalFormatting>
  <conditionalFormatting sqref="T17">
    <cfRule type="expression" dxfId="330" priority="6">
      <formula>$T$17&lt;0</formula>
    </cfRule>
    <cfRule type="expression" dxfId="329" priority="22">
      <formula>$T$17&gt;=1</formula>
    </cfRule>
  </conditionalFormatting>
  <conditionalFormatting sqref="L21">
    <cfRule type="expression" dxfId="328" priority="20">
      <formula>$V$21&lt;=$R$21</formula>
    </cfRule>
    <cfRule type="expression" dxfId="327" priority="21">
      <formula>$V$21&gt;$R$21</formula>
    </cfRule>
  </conditionalFormatting>
  <conditionalFormatting sqref="L25">
    <cfRule type="expression" dxfId="326" priority="18">
      <formula>SUM($N$25:$V$25)&lt;=0</formula>
    </cfRule>
    <cfRule type="expression" dxfId="325" priority="19">
      <formula>SUM($N$25:$V$25)&gt;0</formula>
    </cfRule>
  </conditionalFormatting>
  <conditionalFormatting sqref="N25">
    <cfRule type="expression" dxfId="324" priority="17">
      <formula>N25&lt;=0</formula>
    </cfRule>
  </conditionalFormatting>
  <conditionalFormatting sqref="O25:V25">
    <cfRule type="expression" dxfId="323" priority="16">
      <formula>O25&lt;=0</formula>
    </cfRule>
  </conditionalFormatting>
  <conditionalFormatting sqref="L29">
    <cfRule type="expression" dxfId="322" priority="14">
      <formula>$W$29&gt;$O$29</formula>
    </cfRule>
    <cfRule type="expression" dxfId="321" priority="15">
      <formula>$W$29&lt;=$O$29</formula>
    </cfRule>
  </conditionalFormatting>
  <conditionalFormatting sqref="N28">
    <cfRule type="expression" dxfId="320" priority="12">
      <formula>$N$28&lt;=0</formula>
    </cfRule>
    <cfRule type="expression" dxfId="319" priority="13">
      <formula>$N$28&gt;0</formula>
    </cfRule>
  </conditionalFormatting>
  <conditionalFormatting sqref="P28">
    <cfRule type="expression" dxfId="318" priority="11">
      <formula>P28&gt;=2%</formula>
    </cfRule>
  </conditionalFormatting>
  <conditionalFormatting sqref="Q28:X28">
    <cfRule type="expression" dxfId="317" priority="10">
      <formula>Q28&gt;=2%</formula>
    </cfRule>
  </conditionalFormatting>
  <conditionalFormatting sqref="Q5">
    <cfRule type="expression" dxfId="316" priority="9">
      <formula>$Q$5&lt;500</formula>
    </cfRule>
  </conditionalFormatting>
  <conditionalFormatting sqref="V17">
    <cfRule type="expression" dxfId="315" priority="8">
      <formula>$V$17&lt;10</formula>
    </cfRule>
  </conditionalFormatting>
  <conditionalFormatting sqref="P15">
    <cfRule type="expression" dxfId="314" priority="5">
      <formula>$P$15&lt;10%</formula>
    </cfRule>
  </conditionalFormatting>
  <conditionalFormatting sqref="R15">
    <cfRule type="expression" dxfId="313" priority="4">
      <formula>$R$15&lt;10%</formula>
    </cfRule>
  </conditionalFormatting>
  <conditionalFormatting sqref="T15">
    <cfRule type="expression" dxfId="312" priority="3">
      <formula>$T$15&lt;10%</formula>
    </cfRule>
  </conditionalFormatting>
  <conditionalFormatting sqref="V15">
    <cfRule type="expression" dxfId="311" priority="2">
      <formula>$V$15&lt;10%</formula>
    </cfRule>
  </conditionalFormatting>
  <conditionalFormatting sqref="V23">
    <cfRule type="expression" dxfId="310" priority="1">
      <formula>$V$23&lt;5%</formula>
    </cfRule>
  </conditionalFormatting>
  <dataValidations count="5">
    <dataValidation type="list" allowBlank="1" showInputMessage="1" showErrorMessage="1" sqref="L17">
      <formula1>DEBTLEVEL</formula1>
    </dataValidation>
    <dataValidation type="list" allowBlank="1" showInputMessage="1" showErrorMessage="1" sqref="L14">
      <formula1>GROWTHLIST</formula1>
    </dataValidation>
    <dataValidation type="list" allowBlank="1" showInputMessage="1" showErrorMessage="1" sqref="L23">
      <formula1>UNDERSTAND</formula1>
    </dataValidation>
    <dataValidation type="list" allowBlank="1" showInputMessage="1" showErrorMessage="1" sqref="L27">
      <formula1>LOT</formula1>
    </dataValidation>
    <dataValidation type="list" allowBlank="1" showInputMessage="1" showErrorMessage="1" sqref="L2">
      <formula1>pass</formula1>
    </dataValidation>
  </dataValidations>
  <hyperlinks>
    <hyperlink ref="R1:W2" r:id="rId1" display="click here for the explanation"/>
    <hyperlink ref="B29:K29" location="'Balance sheet Flow chart'!B11" display="Has the number of shares outstanding increased markedly over the past several years?"/>
    <hyperlink ref="B5" location="DCF!A66" display="Does the firm pass minimum quality hurdle?"/>
    <hyperlink ref="B17" location="DCF!A67" display="How clean is the balance sheet?"/>
    <hyperlink ref="B14" location="DCF!A68" display="Is earnings growth consistent or erratic?"/>
    <hyperlink ref="B12" location="'2-minute test'!A69" display="Are returns on equity consistently above 15% with reasonable leverage?"/>
    <hyperlink ref="B12:K12" location="DCF!A69" display="Are returns on equity consistently above 15% with reasonable leverage?"/>
    <hyperlink ref="A1:E2" r:id="rId2" display="https://investordiary.in/"/>
  </hyperlinks>
  <pageMargins left="0.7" right="0.7" top="0.75" bottom="0.75" header="0.3" footer="0.3"/>
  <pageSetup orientation="landscape" r:id="rId3"/>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5"/>
  <sheetViews>
    <sheetView showGridLines="0" workbookViewId="0">
      <selection activeCell="B1" sqref="B1:H1"/>
    </sheetView>
  </sheetViews>
  <sheetFormatPr defaultRowHeight="15" x14ac:dyDescent="0.25"/>
  <cols>
    <col min="1" max="1" width="1.7109375" customWidth="1"/>
    <col min="2" max="2" width="18.7109375" customWidth="1"/>
    <col min="3" max="3" width="4.85546875" customWidth="1"/>
    <col min="4" max="4" width="15" customWidth="1"/>
    <col min="5" max="5" width="4.7109375" customWidth="1"/>
    <col min="6" max="6" width="19" customWidth="1"/>
    <col min="7" max="7" width="4.7109375" customWidth="1"/>
    <col min="8" max="8" width="18.7109375" customWidth="1"/>
    <col min="9" max="9" width="4.85546875" customWidth="1"/>
    <col min="10" max="10" width="16.85546875" customWidth="1"/>
    <col min="11" max="11" width="4.85546875" customWidth="1"/>
    <col min="12" max="12" width="15.5703125" customWidth="1"/>
    <col min="13" max="13" width="5" customWidth="1"/>
    <col min="14" max="14" width="15" customWidth="1"/>
    <col min="15" max="15" width="4.85546875" customWidth="1"/>
    <col min="16" max="16" width="10" customWidth="1"/>
    <col min="17" max="17" width="4.7109375" customWidth="1"/>
    <col min="18" max="18" width="12.7109375" customWidth="1"/>
    <col min="19" max="19" width="9.140625" customWidth="1"/>
  </cols>
  <sheetData>
    <row r="1" spans="2:43" ht="16.5" thickTop="1" thickBot="1" x14ac:dyDescent="0.3">
      <c r="B1" s="914" t="s">
        <v>439</v>
      </c>
      <c r="C1" s="915"/>
      <c r="D1" s="915"/>
      <c r="E1" s="915"/>
      <c r="F1" s="915"/>
      <c r="G1" s="915"/>
      <c r="H1" s="916"/>
      <c r="I1" s="585"/>
      <c r="J1" s="917" t="s">
        <v>439</v>
      </c>
      <c r="K1" s="918"/>
      <c r="L1" s="918"/>
      <c r="M1" s="918"/>
      <c r="N1" s="918"/>
      <c r="O1" s="918"/>
      <c r="P1" s="918"/>
      <c r="Q1" s="918"/>
      <c r="R1" s="919"/>
    </row>
    <row r="2" spans="2:43" ht="15.75" thickBot="1" x14ac:dyDescent="0.3">
      <c r="B2" s="911" t="s">
        <v>430</v>
      </c>
      <c r="C2" s="912"/>
      <c r="D2" s="912"/>
      <c r="E2" s="912"/>
      <c r="F2" s="912"/>
      <c r="G2" s="912"/>
      <c r="H2" s="913"/>
      <c r="I2" s="2"/>
      <c r="J2" s="920" t="s">
        <v>431</v>
      </c>
      <c r="K2" s="872"/>
      <c r="L2" s="872"/>
      <c r="M2" s="872"/>
      <c r="N2" s="872"/>
      <c r="O2" s="872"/>
      <c r="P2" s="872"/>
      <c r="Q2" s="872"/>
      <c r="R2" s="921"/>
    </row>
    <row r="3" spans="2:43" ht="15.75" thickBot="1" x14ac:dyDescent="0.3">
      <c r="B3" s="580"/>
      <c r="C3" s="2"/>
      <c r="D3" s="899" t="s">
        <v>181</v>
      </c>
      <c r="E3" s="900"/>
      <c r="F3" s="900"/>
      <c r="G3" s="2"/>
      <c r="H3" s="592"/>
      <c r="I3" s="2"/>
      <c r="J3" s="589"/>
      <c r="K3" s="2"/>
      <c r="L3" s="2"/>
      <c r="M3" s="2"/>
      <c r="N3" s="2"/>
      <c r="O3" s="2"/>
      <c r="P3" s="2"/>
      <c r="Q3" s="2"/>
      <c r="R3" s="586"/>
    </row>
    <row r="4" spans="2:43" ht="15.75" thickBot="1" x14ac:dyDescent="0.3">
      <c r="B4" s="620" t="s">
        <v>435</v>
      </c>
      <c r="C4" s="1"/>
      <c r="D4" s="623" t="s">
        <v>436</v>
      </c>
      <c r="E4" s="621"/>
      <c r="F4" s="623" t="s">
        <v>437</v>
      </c>
      <c r="G4" s="621"/>
      <c r="H4" s="624" t="s">
        <v>438</v>
      </c>
      <c r="I4" s="621"/>
      <c r="J4" s="625" t="s">
        <v>464</v>
      </c>
      <c r="K4" s="622"/>
      <c r="L4" s="623" t="s">
        <v>465</v>
      </c>
      <c r="M4" s="622"/>
      <c r="N4" s="623" t="s">
        <v>466</v>
      </c>
      <c r="O4" s="622"/>
      <c r="P4" s="623" t="s">
        <v>467</v>
      </c>
      <c r="Q4" s="622"/>
      <c r="R4" s="626" t="s">
        <v>468</v>
      </c>
    </row>
    <row r="5" spans="2:43" x14ac:dyDescent="0.25">
      <c r="B5" s="581"/>
      <c r="C5" s="2"/>
      <c r="D5" s="577"/>
      <c r="E5" s="2"/>
      <c r="F5" s="604" t="s">
        <v>428</v>
      </c>
      <c r="G5" s="2"/>
      <c r="H5" s="593"/>
      <c r="I5" s="2"/>
      <c r="J5" s="609"/>
      <c r="K5" s="610"/>
      <c r="L5" s="611"/>
      <c r="M5" s="610"/>
      <c r="N5" s="611"/>
      <c r="O5" s="610"/>
      <c r="P5" s="611"/>
      <c r="Q5" s="610"/>
      <c r="R5" s="612"/>
    </row>
    <row r="6" spans="2:43" x14ac:dyDescent="0.25">
      <c r="B6" s="582"/>
      <c r="C6" s="2"/>
      <c r="D6" s="578"/>
      <c r="E6" s="2"/>
      <c r="F6" s="601" t="s">
        <v>429</v>
      </c>
      <c r="G6" s="2"/>
      <c r="H6" s="594"/>
      <c r="I6" s="2"/>
      <c r="J6" s="613"/>
      <c r="K6" s="610"/>
      <c r="L6" s="614"/>
      <c r="M6" s="610"/>
      <c r="N6" s="614"/>
      <c r="O6" s="610"/>
      <c r="P6" s="614"/>
      <c r="Q6" s="610"/>
      <c r="R6" s="615"/>
    </row>
    <row r="7" spans="2:43" x14ac:dyDescent="0.25">
      <c r="B7" s="582"/>
      <c r="C7" s="2"/>
      <c r="D7" s="578"/>
      <c r="E7" s="2"/>
      <c r="F7" s="600" t="s">
        <v>426</v>
      </c>
      <c r="G7" s="2"/>
      <c r="H7" s="594"/>
      <c r="I7" s="2"/>
      <c r="J7" s="616" t="s">
        <v>432</v>
      </c>
      <c r="K7" s="610"/>
      <c r="L7" s="614"/>
      <c r="M7" s="610"/>
      <c r="N7" s="614"/>
      <c r="O7" s="610"/>
      <c r="P7" s="614"/>
      <c r="Q7" s="610"/>
      <c r="R7" s="615"/>
    </row>
    <row r="8" spans="2:43" x14ac:dyDescent="0.25">
      <c r="B8" s="582"/>
      <c r="C8" s="2"/>
      <c r="D8" s="578"/>
      <c r="E8" s="2"/>
      <c r="F8" s="600" t="s">
        <v>427</v>
      </c>
      <c r="G8" s="2"/>
      <c r="H8" s="606"/>
      <c r="I8" s="2"/>
      <c r="J8" s="616" t="s">
        <v>449</v>
      </c>
      <c r="K8" s="610"/>
      <c r="L8" s="614"/>
      <c r="M8" s="610"/>
      <c r="N8" s="614"/>
      <c r="O8" s="610"/>
      <c r="P8" s="614"/>
      <c r="Q8" s="610"/>
      <c r="R8" s="617" t="s">
        <v>460</v>
      </c>
    </row>
    <row r="9" spans="2:43" x14ac:dyDescent="0.25">
      <c r="B9" s="599" t="s">
        <v>15</v>
      </c>
      <c r="C9" s="211"/>
      <c r="D9" s="600" t="s">
        <v>424</v>
      </c>
      <c r="E9" s="2"/>
      <c r="F9" s="600" t="s">
        <v>440</v>
      </c>
      <c r="G9" s="2"/>
      <c r="H9" s="607" t="s">
        <v>447</v>
      </c>
      <c r="I9" s="2"/>
      <c r="J9" s="618" t="s">
        <v>433</v>
      </c>
      <c r="K9" s="610"/>
      <c r="L9" s="600" t="s">
        <v>454</v>
      </c>
      <c r="M9" s="610"/>
      <c r="N9" s="600" t="s">
        <v>452</v>
      </c>
      <c r="O9" s="610"/>
      <c r="P9" s="601" t="s">
        <v>457</v>
      </c>
      <c r="Q9" s="610"/>
      <c r="R9" s="619" t="s">
        <v>461</v>
      </c>
    </row>
    <row r="10" spans="2:43" x14ac:dyDescent="0.25">
      <c r="B10" s="599" t="s">
        <v>469</v>
      </c>
      <c r="C10" s="211"/>
      <c r="D10" s="601" t="s">
        <v>425</v>
      </c>
      <c r="E10" s="2"/>
      <c r="F10" s="600" t="s">
        <v>442</v>
      </c>
      <c r="G10" s="2"/>
      <c r="H10" s="608" t="s">
        <v>448</v>
      </c>
      <c r="I10" s="2"/>
      <c r="J10" s="616" t="s">
        <v>450</v>
      </c>
      <c r="K10" s="610"/>
      <c r="L10" s="601" t="s">
        <v>455</v>
      </c>
      <c r="M10" s="610"/>
      <c r="N10" s="601" t="s">
        <v>453</v>
      </c>
      <c r="O10" s="610"/>
      <c r="P10" s="601" t="s">
        <v>458</v>
      </c>
      <c r="Q10" s="610"/>
      <c r="R10" s="617" t="s">
        <v>462</v>
      </c>
    </row>
    <row r="11" spans="2:43" x14ac:dyDescent="0.25">
      <c r="B11" s="599" t="s">
        <v>423</v>
      </c>
      <c r="C11" s="2"/>
      <c r="D11" s="578"/>
      <c r="E11" s="2"/>
      <c r="F11" s="600" t="s">
        <v>443</v>
      </c>
      <c r="G11" s="2"/>
      <c r="H11" s="594"/>
      <c r="I11" s="2"/>
      <c r="J11" s="616" t="s">
        <v>451</v>
      </c>
      <c r="K11" s="610"/>
      <c r="L11" s="601" t="s">
        <v>456</v>
      </c>
      <c r="M11" s="610"/>
      <c r="N11" s="614"/>
      <c r="O11" s="610"/>
      <c r="P11" s="600" t="s">
        <v>459</v>
      </c>
      <c r="Q11" s="610"/>
      <c r="R11" s="617" t="s">
        <v>463</v>
      </c>
    </row>
    <row r="12" spans="2:43" x14ac:dyDescent="0.25">
      <c r="B12" s="582"/>
      <c r="C12" s="2"/>
      <c r="D12" s="578"/>
      <c r="E12" s="2"/>
      <c r="F12" s="600" t="s">
        <v>441</v>
      </c>
      <c r="G12" s="2"/>
      <c r="H12" s="594"/>
      <c r="I12" s="2"/>
      <c r="J12" s="613"/>
      <c r="K12" s="610"/>
      <c r="L12" s="614"/>
      <c r="M12" s="610"/>
      <c r="N12" s="614"/>
      <c r="O12" s="610"/>
      <c r="P12" s="614"/>
      <c r="Q12" s="610"/>
      <c r="R12" s="615"/>
    </row>
    <row r="13" spans="2:43" x14ac:dyDescent="0.25">
      <c r="B13" s="582"/>
      <c r="C13" s="2"/>
      <c r="D13" s="578"/>
      <c r="E13" s="2"/>
      <c r="F13" s="600" t="s">
        <v>444</v>
      </c>
      <c r="G13" s="2"/>
      <c r="H13" s="594"/>
      <c r="I13" s="2"/>
      <c r="J13" s="613"/>
      <c r="K13" s="610"/>
      <c r="L13" s="614"/>
      <c r="M13" s="610"/>
      <c r="N13" s="614"/>
      <c r="O13" s="610"/>
      <c r="P13" s="614"/>
      <c r="Q13" s="610"/>
      <c r="R13" s="615"/>
    </row>
    <row r="14" spans="2:43" x14ac:dyDescent="0.25">
      <c r="B14" s="582"/>
      <c r="C14" s="2"/>
      <c r="D14" s="578"/>
      <c r="E14" s="2"/>
      <c r="F14" s="600" t="s">
        <v>445</v>
      </c>
      <c r="G14" s="2"/>
      <c r="H14" s="594"/>
      <c r="I14" s="2"/>
      <c r="J14" s="590"/>
      <c r="K14" s="2"/>
      <c r="L14" s="578"/>
      <c r="M14" s="2"/>
      <c r="N14" s="578"/>
      <c r="O14" s="2"/>
      <c r="P14" s="578"/>
      <c r="Q14" s="2"/>
      <c r="R14" s="587"/>
    </row>
    <row r="15" spans="2:43" ht="15.75" thickBot="1" x14ac:dyDescent="0.3">
      <c r="B15" s="583"/>
      <c r="C15" s="2"/>
      <c r="D15" s="579"/>
      <c r="E15" s="2"/>
      <c r="F15" s="605" t="s">
        <v>446</v>
      </c>
      <c r="G15" s="2"/>
      <c r="H15" s="595"/>
      <c r="I15" s="2"/>
      <c r="J15" s="591"/>
      <c r="K15" s="2"/>
      <c r="L15" s="579"/>
      <c r="M15" s="2"/>
      <c r="N15" s="579"/>
      <c r="O15" s="2"/>
      <c r="P15" s="579"/>
      <c r="Q15" s="2"/>
      <c r="R15" s="588"/>
    </row>
    <row r="16" spans="2:43" x14ac:dyDescent="0.25">
      <c r="B16" s="922" t="s">
        <v>470</v>
      </c>
      <c r="C16" s="2"/>
      <c r="D16" s="925" t="s">
        <v>341</v>
      </c>
      <c r="E16" s="1"/>
      <c r="F16" s="925" t="s">
        <v>643</v>
      </c>
      <c r="G16" s="1"/>
      <c r="H16" s="928" t="s">
        <v>644</v>
      </c>
      <c r="I16" s="1"/>
      <c r="J16" s="931" t="s">
        <v>471</v>
      </c>
      <c r="K16" s="596"/>
      <c r="L16" s="925" t="s">
        <v>645</v>
      </c>
      <c r="M16" s="596"/>
      <c r="N16" s="925" t="s">
        <v>646</v>
      </c>
      <c r="O16" s="596"/>
      <c r="P16" s="925" t="s">
        <v>647</v>
      </c>
      <c r="Q16" s="596"/>
      <c r="R16" s="935" t="s">
        <v>648</v>
      </c>
      <c r="AQ16" t="s">
        <v>483</v>
      </c>
    </row>
    <row r="17" spans="2:43" x14ac:dyDescent="0.25">
      <c r="B17" s="923"/>
      <c r="C17" s="2"/>
      <c r="D17" s="926"/>
      <c r="E17" s="1"/>
      <c r="F17" s="926"/>
      <c r="G17" s="1"/>
      <c r="H17" s="929"/>
      <c r="I17" s="1"/>
      <c r="J17" s="932"/>
      <c r="K17" s="596"/>
      <c r="L17" s="926"/>
      <c r="M17" s="596"/>
      <c r="N17" s="926"/>
      <c r="O17" s="596"/>
      <c r="P17" s="926"/>
      <c r="Q17" s="596"/>
      <c r="R17" s="936"/>
      <c r="AQ17" t="s">
        <v>484</v>
      </c>
    </row>
    <row r="18" spans="2:43" x14ac:dyDescent="0.25">
      <c r="B18" s="923"/>
      <c r="C18" s="2"/>
      <c r="D18" s="926"/>
      <c r="E18" s="1"/>
      <c r="F18" s="926"/>
      <c r="G18" s="1"/>
      <c r="H18" s="929"/>
      <c r="I18" s="1"/>
      <c r="J18" s="932"/>
      <c r="K18" s="596"/>
      <c r="L18" s="926"/>
      <c r="M18" s="596"/>
      <c r="N18" s="926"/>
      <c r="O18" s="596"/>
      <c r="P18" s="926"/>
      <c r="Q18" s="596"/>
      <c r="R18" s="936"/>
      <c r="AQ18" t="s">
        <v>485</v>
      </c>
    </row>
    <row r="19" spans="2:43" ht="15.75" thickBot="1" x14ac:dyDescent="0.3">
      <c r="B19" s="924"/>
      <c r="C19" s="584"/>
      <c r="D19" s="927"/>
      <c r="E19" s="597"/>
      <c r="F19" s="927"/>
      <c r="G19" s="597"/>
      <c r="H19" s="930"/>
      <c r="I19" s="1"/>
      <c r="J19" s="933"/>
      <c r="K19" s="598"/>
      <c r="L19" s="934"/>
      <c r="M19" s="598"/>
      <c r="N19" s="934"/>
      <c r="O19" s="598"/>
      <c r="P19" s="934"/>
      <c r="Q19" s="598"/>
      <c r="R19" s="937"/>
    </row>
    <row r="20" spans="2:43" ht="7.5" customHeight="1" thickTop="1" thickBot="1" x14ac:dyDescent="0.3">
      <c r="I20" s="2"/>
    </row>
    <row r="21" spans="2:43" x14ac:dyDescent="0.25">
      <c r="B21" s="902" t="s">
        <v>649</v>
      </c>
      <c r="C21" s="903"/>
      <c r="D21" s="903"/>
      <c r="E21" s="903"/>
      <c r="F21" s="903"/>
      <c r="G21" s="903"/>
      <c r="H21" s="903"/>
      <c r="I21" s="903"/>
      <c r="J21" s="903"/>
      <c r="K21" s="903"/>
      <c r="L21" s="903"/>
      <c r="M21" s="903"/>
      <c r="N21" s="903"/>
      <c r="O21" s="903"/>
      <c r="P21" s="903"/>
      <c r="Q21" s="903"/>
      <c r="R21" s="904"/>
    </row>
    <row r="22" spans="2:43" x14ac:dyDescent="0.25">
      <c r="B22" s="905"/>
      <c r="C22" s="906"/>
      <c r="D22" s="906"/>
      <c r="E22" s="906"/>
      <c r="F22" s="906"/>
      <c r="G22" s="906"/>
      <c r="H22" s="906"/>
      <c r="I22" s="906"/>
      <c r="J22" s="906"/>
      <c r="K22" s="906"/>
      <c r="L22" s="906"/>
      <c r="M22" s="906"/>
      <c r="N22" s="906"/>
      <c r="O22" s="906"/>
      <c r="P22" s="906"/>
      <c r="Q22" s="906"/>
      <c r="R22" s="907"/>
    </row>
    <row r="23" spans="2:43" x14ac:dyDescent="0.25">
      <c r="B23" s="905"/>
      <c r="C23" s="906"/>
      <c r="D23" s="906"/>
      <c r="E23" s="906"/>
      <c r="F23" s="906"/>
      <c r="G23" s="906"/>
      <c r="H23" s="906"/>
      <c r="I23" s="906"/>
      <c r="J23" s="906"/>
      <c r="K23" s="906"/>
      <c r="L23" s="906"/>
      <c r="M23" s="906"/>
      <c r="N23" s="906"/>
      <c r="O23" s="906"/>
      <c r="P23" s="906"/>
      <c r="Q23" s="906"/>
      <c r="R23" s="907"/>
    </row>
    <row r="24" spans="2:43" ht="15.75" thickBot="1" x14ac:dyDescent="0.3">
      <c r="B24" s="908"/>
      <c r="C24" s="909"/>
      <c r="D24" s="909"/>
      <c r="E24" s="909"/>
      <c r="F24" s="909"/>
      <c r="G24" s="909"/>
      <c r="H24" s="909"/>
      <c r="I24" s="909"/>
      <c r="J24" s="909"/>
      <c r="K24" s="909"/>
      <c r="L24" s="909"/>
      <c r="M24" s="909"/>
      <c r="N24" s="909"/>
      <c r="O24" s="909"/>
      <c r="P24" s="909"/>
      <c r="Q24" s="909"/>
      <c r="R24" s="910"/>
    </row>
    <row r="25" spans="2:43" ht="15.75" thickBot="1" x14ac:dyDescent="0.3">
      <c r="B25" s="875" t="s">
        <v>483</v>
      </c>
      <c r="C25" s="901"/>
      <c r="D25" s="901"/>
      <c r="E25" s="901"/>
      <c r="F25" s="901"/>
      <c r="G25" s="901"/>
      <c r="H25" s="901"/>
      <c r="I25" s="901"/>
      <c r="J25" s="901"/>
      <c r="K25" s="901"/>
      <c r="L25" s="901"/>
      <c r="M25" s="901"/>
      <c r="N25" s="901"/>
      <c r="O25" s="901"/>
      <c r="P25" s="901"/>
      <c r="Q25" s="901"/>
      <c r="R25" s="876"/>
    </row>
  </sheetData>
  <mergeCells count="16">
    <mergeCell ref="D3:F3"/>
    <mergeCell ref="B25:R25"/>
    <mergeCell ref="B21:R24"/>
    <mergeCell ref="B2:H2"/>
    <mergeCell ref="B1:H1"/>
    <mergeCell ref="J1:R1"/>
    <mergeCell ref="J2:R2"/>
    <mergeCell ref="B16:B19"/>
    <mergeCell ref="D16:D19"/>
    <mergeCell ref="F16:F19"/>
    <mergeCell ref="H16:H19"/>
    <mergeCell ref="J16:J19"/>
    <mergeCell ref="L16:L19"/>
    <mergeCell ref="N16:N19"/>
    <mergeCell ref="P16:P19"/>
    <mergeCell ref="R16:R19"/>
  </mergeCells>
  <dataValidations count="1">
    <dataValidation type="list" allowBlank="1" showInputMessage="1" showErrorMessage="1" sqref="B25:R25">
      <formula1>$AQ$16:$AQ$18</formula1>
    </dataValidation>
  </dataValidations>
  <hyperlinks>
    <hyperlink ref="B9" location="'Balance Sheet'!A4" display="Equity Share Capital"/>
    <hyperlink ref="B11" location="'2-minute test'!B29" display="2 minute test"/>
    <hyperlink ref="D9" location="'Balance Sheet'!A5" display="Reserves BS"/>
    <hyperlink ref="B10" location="'balance sheet CFA'!A3" display="ESC. CFA"/>
    <hyperlink ref="D10" location="'balance sheet CFA'!A4" display="Reserves CFA"/>
    <hyperlink ref="F5" location="'Balance Sheet'!A6" display="Borrowings BS"/>
    <hyperlink ref="F6" location="'balance sheet CFA'!A5" display="Borrowings CFA"/>
    <hyperlink ref="F7" location="'Financial Health'!B3" display="Financial Leverage"/>
    <hyperlink ref="F8" location="'Financial Health'!B4" display="Debt to Equity ratio"/>
    <hyperlink ref="F9" location="'Financial Health'!B5" display="Int. Coverage ratio"/>
    <hyperlink ref="F10" location="'Financial Health'!A12" display="T.Assets/T.Liabilities"/>
    <hyperlink ref="F11" location="'Financial Health'!A13" display="T.Debt/T.Assets"/>
    <hyperlink ref="F12" location="'Financial Health'!A14" display="T.Debt/T.Equity"/>
    <hyperlink ref="F13" location="'Financial Health'!A15" display="Int. coverage ratio"/>
    <hyperlink ref="F14" location="'Financial Health'!A19" display="T.Debt/Cash Flow"/>
    <hyperlink ref="F15" location="'Financial Health'!A20" display="T.Debt/F.Cash Flow"/>
    <hyperlink ref="H9" location="'Balance Sheet'!A7" display="OTH Liabilities BS"/>
    <hyperlink ref="H10" location="'balance sheet CFA'!A6" display="OTH Liabilities CFA"/>
    <hyperlink ref="J7" location="'Balance Sheet'!A10" display="Net Block BS"/>
    <hyperlink ref="J8" location="'Balance Sheet'!A11" display="CWIP BS"/>
    <hyperlink ref="J9" location="'balance sheet CFA'!A8" display="Net Block CFA"/>
    <hyperlink ref="J10" location="'balance sheet CFA'!A9" display="CWIP CFA"/>
    <hyperlink ref="J11" location="'Financial Health'!A11" display="F.Asset Turnover"/>
    <hyperlink ref="L9" location="'Balance Sheet'!A12" display="Invt BS"/>
    <hyperlink ref="L10" location="'balance sheet CFA'!A10" display="Invt CFA"/>
    <hyperlink ref="L11" location="'balance sheet CFA'!A15" display="Cash&amp;Bank CFA"/>
    <hyperlink ref="N9" location="'Balance Sheet'!A13" display="OTH Assets BS"/>
    <hyperlink ref="N10" location="'balance sheet CFA'!A11" display="OTH Assets CFA"/>
    <hyperlink ref="P9" location="'Balance Sheet'!A17" display="A/R BS"/>
    <hyperlink ref="P10" location="'balance sheet CFA'!A13" display="A/R CFA"/>
    <hyperlink ref="P11" location="'Financial Health'!A10" display="A/R DAYS"/>
    <hyperlink ref="R8" location="'Balance Sheet'!A18" display="INV BS"/>
    <hyperlink ref="R9" location="'balance sheet CFA'!A14" display="INV CFA"/>
    <hyperlink ref="R10" location="'Financial Health'!A8" display="INV Turnover"/>
    <hyperlink ref="R11" location="'Financial Health'!A9" display="Days in INV"/>
    <hyperlink ref="B4" location="'Balance sheet Flow chart'!B9" display="STEP-1"/>
    <hyperlink ref="D4" location="'Balance sheet Flow chart'!D9" display="STEP-2"/>
    <hyperlink ref="F4" location="'Balance sheet Flow chart'!F5" display="STEP-3"/>
    <hyperlink ref="H4" location="'Balance sheet Flow chart'!H9" display="STEP-4"/>
    <hyperlink ref="J4" location="'Balance sheet Flow chart'!J7" display="STEP-5"/>
    <hyperlink ref="L4" location="'Balance sheet Flow chart'!L9" display="STEP-6"/>
    <hyperlink ref="N4" location="'Balance sheet Flow chart'!N9" display="STEP-7"/>
    <hyperlink ref="P4" location="'Balance sheet Flow chart'!P9" display="STEP-8"/>
    <hyperlink ref="R4" location="'Balance sheet Flow chart'!R8" display="STEP-9"/>
    <hyperlink ref="D3" r:id="rId1"/>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22"/>
  <sheetViews>
    <sheetView showGridLines="0" zoomScale="130" zoomScaleNormal="130" workbookViewId="0">
      <selection sqref="A1:K1"/>
    </sheetView>
  </sheetViews>
  <sheetFormatPr defaultColWidth="9.140625" defaultRowHeight="12.75" x14ac:dyDescent="0.2"/>
  <cols>
    <col min="1" max="1" width="24.42578125" style="53" bestFit="1" customWidth="1"/>
    <col min="2" max="3" width="7.5703125" style="53" bestFit="1" customWidth="1"/>
    <col min="4" max="4" width="8" style="53" bestFit="1" customWidth="1"/>
    <col min="5" max="6" width="7.5703125" style="53" bestFit="1" customWidth="1"/>
    <col min="7" max="11" width="8" style="53" bestFit="1" customWidth="1"/>
    <col min="12" max="16384" width="9.140625" style="53"/>
  </cols>
  <sheetData>
    <row r="1" spans="1:15" ht="15.75" customHeight="1" thickBot="1" x14ac:dyDescent="0.35">
      <c r="A1" s="938" t="s">
        <v>172</v>
      </c>
      <c r="B1" s="939"/>
      <c r="C1" s="939"/>
      <c r="D1" s="939"/>
      <c r="E1" s="939"/>
      <c r="F1" s="939"/>
      <c r="G1" s="939"/>
      <c r="H1" s="939"/>
      <c r="I1" s="939"/>
      <c r="J1" s="939"/>
      <c r="K1" s="940"/>
      <c r="L1" s="947" t="s">
        <v>181</v>
      </c>
      <c r="M1" s="948"/>
      <c r="N1" s="948"/>
      <c r="O1" s="948"/>
    </row>
    <row r="2" spans="1:15" s="52" customFormat="1" ht="15.75" thickBot="1" x14ac:dyDescent="0.3">
      <c r="A2" s="941" t="str">
        <f>summary!B6</f>
        <v>AVANTI FEEDS LTD</v>
      </c>
      <c r="B2" s="942"/>
      <c r="C2" s="942"/>
      <c r="D2" s="942"/>
      <c r="E2" s="942"/>
      <c r="F2" s="942"/>
      <c r="G2" s="942"/>
      <c r="H2" s="942"/>
      <c r="I2" s="942"/>
      <c r="J2" s="942"/>
      <c r="K2" s="943"/>
      <c r="L2" s="535" t="s">
        <v>341</v>
      </c>
      <c r="M2" s="371"/>
    </row>
    <row r="3" spans="1:15" s="54" customFormat="1" ht="15.75" thickBot="1" x14ac:dyDescent="0.3">
      <c r="A3" s="302" t="s">
        <v>148</v>
      </c>
      <c r="B3" s="197">
        <f>'Data Sheet'!B56</f>
        <v>40633</v>
      </c>
      <c r="C3" s="197">
        <f>'Data Sheet'!C56</f>
        <v>40999</v>
      </c>
      <c r="D3" s="197">
        <f>'Data Sheet'!D56</f>
        <v>41364</v>
      </c>
      <c r="E3" s="197">
        <f>'Data Sheet'!E56</f>
        <v>41729</v>
      </c>
      <c r="F3" s="197">
        <f>'Data Sheet'!F56</f>
        <v>42094</v>
      </c>
      <c r="G3" s="197">
        <f>'Data Sheet'!G56</f>
        <v>42460</v>
      </c>
      <c r="H3" s="197">
        <f>'Data Sheet'!H56</f>
        <v>42825</v>
      </c>
      <c r="I3" s="197">
        <f>'Data Sheet'!I56</f>
        <v>43190</v>
      </c>
      <c r="J3" s="197">
        <f>'Data Sheet'!J56</f>
        <v>43555</v>
      </c>
      <c r="K3" s="198">
        <f>'Data Sheet'!K56</f>
        <v>43921</v>
      </c>
      <c r="L3" s="536" t="s">
        <v>342</v>
      </c>
      <c r="M3" s="371"/>
    </row>
    <row r="4" spans="1:15" ht="15" x14ac:dyDescent="0.25">
      <c r="A4" s="602" t="s">
        <v>15</v>
      </c>
      <c r="B4" s="55">
        <f>'Data Sheet'!B57</f>
        <v>8</v>
      </c>
      <c r="C4" s="55">
        <f>'Data Sheet'!C57</f>
        <v>8</v>
      </c>
      <c r="D4" s="55">
        <f>'Data Sheet'!D57</f>
        <v>9.08</v>
      </c>
      <c r="E4" s="55">
        <f>'Data Sheet'!E57</f>
        <v>9.08</v>
      </c>
      <c r="F4" s="55">
        <f>'Data Sheet'!F57</f>
        <v>9.08</v>
      </c>
      <c r="G4" s="55">
        <f>'Data Sheet'!G57</f>
        <v>9.08</v>
      </c>
      <c r="H4" s="55">
        <f>'Data Sheet'!H57</f>
        <v>9.08</v>
      </c>
      <c r="I4" s="55">
        <f>'Data Sheet'!I57</f>
        <v>9.08</v>
      </c>
      <c r="J4" s="55">
        <f>'Data Sheet'!J57</f>
        <v>13.62</v>
      </c>
      <c r="K4" s="59">
        <f>'Data Sheet'!K57</f>
        <v>13.62</v>
      </c>
    </row>
    <row r="5" spans="1:15" ht="15" x14ac:dyDescent="0.25">
      <c r="A5" s="602" t="s">
        <v>16</v>
      </c>
      <c r="B5" s="55">
        <f>'Data Sheet'!B58</f>
        <v>61.52</v>
      </c>
      <c r="C5" s="55">
        <f>'Data Sheet'!C58</f>
        <v>85.61</v>
      </c>
      <c r="D5" s="55">
        <f>'Data Sheet'!D58</f>
        <v>116.02</v>
      </c>
      <c r="E5" s="55">
        <f>'Data Sheet'!E58</f>
        <v>170.49</v>
      </c>
      <c r="F5" s="55">
        <f>'Data Sheet'!F58</f>
        <v>256.20999999999998</v>
      </c>
      <c r="G5" s="55">
        <f>'Data Sheet'!G58</f>
        <v>413.71</v>
      </c>
      <c r="H5" s="55">
        <f>'Data Sheet'!H58</f>
        <v>626.34</v>
      </c>
      <c r="I5" s="55">
        <f>'Data Sheet'!I58</f>
        <v>1022.4</v>
      </c>
      <c r="J5" s="55">
        <f>'Data Sheet'!J58</f>
        <v>1192.3399999999999</v>
      </c>
      <c r="K5" s="59">
        <f>'Data Sheet'!K58</f>
        <v>1390.06</v>
      </c>
    </row>
    <row r="6" spans="1:15" ht="15" x14ac:dyDescent="0.25">
      <c r="A6" s="602" t="s">
        <v>57</v>
      </c>
      <c r="B6" s="55">
        <f>'Data Sheet'!B59</f>
        <v>54.46</v>
      </c>
      <c r="C6" s="55">
        <f>'Data Sheet'!C59</f>
        <v>49.57</v>
      </c>
      <c r="D6" s="55">
        <f>'Data Sheet'!D59</f>
        <v>61.08</v>
      </c>
      <c r="E6" s="55">
        <f>'Data Sheet'!E59</f>
        <v>56.12</v>
      </c>
      <c r="F6" s="55">
        <f>'Data Sheet'!F59</f>
        <v>58.4</v>
      </c>
      <c r="G6" s="55">
        <f>'Data Sheet'!G59</f>
        <v>10.71</v>
      </c>
      <c r="H6" s="55">
        <f>'Data Sheet'!H59</f>
        <v>19.260000000000002</v>
      </c>
      <c r="I6" s="55">
        <f>'Data Sheet'!I59</f>
        <v>6.87</v>
      </c>
      <c r="J6" s="55">
        <f>'Data Sheet'!J59</f>
        <v>9.34</v>
      </c>
      <c r="K6" s="59">
        <f>'Data Sheet'!K59</f>
        <v>1.57</v>
      </c>
    </row>
    <row r="7" spans="1:15" ht="15" x14ac:dyDescent="0.25">
      <c r="A7" s="602" t="s">
        <v>58</v>
      </c>
      <c r="B7" s="55">
        <f>'Data Sheet'!B60</f>
        <v>26.44</v>
      </c>
      <c r="C7" s="55">
        <f>'Data Sheet'!C60</f>
        <v>39.340000000000003</v>
      </c>
      <c r="D7" s="55">
        <f>'Data Sheet'!D60</f>
        <v>61.92</v>
      </c>
      <c r="E7" s="55">
        <f>'Data Sheet'!E60</f>
        <v>162.66</v>
      </c>
      <c r="F7" s="55">
        <f>'Data Sheet'!F60</f>
        <v>153.88999999999999</v>
      </c>
      <c r="G7" s="55">
        <f>'Data Sheet'!G60</f>
        <v>189.1</v>
      </c>
      <c r="H7" s="55">
        <f>'Data Sheet'!H60</f>
        <v>413.96</v>
      </c>
      <c r="I7" s="55">
        <f>'Data Sheet'!I60</f>
        <v>487.91</v>
      </c>
      <c r="J7" s="55">
        <f>'Data Sheet'!J60</f>
        <v>399.52</v>
      </c>
      <c r="K7" s="59">
        <f>'Data Sheet'!K60</f>
        <v>474.7</v>
      </c>
    </row>
    <row r="8" spans="1:15" s="52" customFormat="1" x14ac:dyDescent="0.2">
      <c r="A8" s="304" t="s">
        <v>17</v>
      </c>
      <c r="B8" s="56">
        <f>'Data Sheet'!B61</f>
        <v>150.41999999999999</v>
      </c>
      <c r="C8" s="56">
        <f>'Data Sheet'!C61</f>
        <v>182.52</v>
      </c>
      <c r="D8" s="56">
        <f>'Data Sheet'!D61</f>
        <v>248.1</v>
      </c>
      <c r="E8" s="56">
        <f>'Data Sheet'!E61</f>
        <v>398.35</v>
      </c>
      <c r="F8" s="56">
        <f>'Data Sheet'!F61</f>
        <v>477.58</v>
      </c>
      <c r="G8" s="56">
        <f>'Data Sheet'!G61</f>
        <v>622.6</v>
      </c>
      <c r="H8" s="56">
        <f>'Data Sheet'!H61</f>
        <v>1068.6400000000001</v>
      </c>
      <c r="I8" s="56">
        <f>'Data Sheet'!I61</f>
        <v>1526.26</v>
      </c>
      <c r="J8" s="56">
        <f>'Data Sheet'!J61</f>
        <v>1614.82</v>
      </c>
      <c r="K8" s="60">
        <f>'Data Sheet'!K61</f>
        <v>1879.95</v>
      </c>
    </row>
    <row r="9" spans="1:15" s="52" customFormat="1" ht="15" x14ac:dyDescent="0.2">
      <c r="A9" s="304"/>
      <c r="B9" s="56"/>
      <c r="C9" s="56"/>
      <c r="D9" s="56"/>
      <c r="E9" s="56"/>
      <c r="F9" s="56"/>
      <c r="G9" s="56"/>
      <c r="H9" s="56"/>
      <c r="I9" s="56"/>
      <c r="J9" s="56"/>
      <c r="K9" s="60"/>
      <c r="L9" s="569" t="s">
        <v>412</v>
      </c>
    </row>
    <row r="10" spans="1:15" ht="15" x14ac:dyDescent="0.25">
      <c r="A10" s="602" t="s">
        <v>18</v>
      </c>
      <c r="B10" s="55">
        <f>'Data Sheet'!B62</f>
        <v>26.78</v>
      </c>
      <c r="C10" s="55">
        <f>'Data Sheet'!C62</f>
        <v>43.09</v>
      </c>
      <c r="D10" s="55">
        <f>'Data Sheet'!D62</f>
        <v>50.85</v>
      </c>
      <c r="E10" s="55">
        <f>'Data Sheet'!E62</f>
        <v>77.510000000000005</v>
      </c>
      <c r="F10" s="55">
        <f>'Data Sheet'!F62</f>
        <v>89.57</v>
      </c>
      <c r="G10" s="55">
        <f>'Data Sheet'!G62</f>
        <v>103.99</v>
      </c>
      <c r="H10" s="55">
        <f>'Data Sheet'!H62</f>
        <v>160.47</v>
      </c>
      <c r="I10" s="55">
        <f>'Data Sheet'!I62</f>
        <v>312.14</v>
      </c>
      <c r="J10" s="55">
        <f>'Data Sheet'!J62</f>
        <v>292.52999999999997</v>
      </c>
      <c r="K10" s="59">
        <f>'Data Sheet'!K62</f>
        <v>270.87</v>
      </c>
    </row>
    <row r="11" spans="1:15" ht="15" x14ac:dyDescent="0.25">
      <c r="A11" s="602" t="s">
        <v>19</v>
      </c>
      <c r="B11" s="55">
        <f>'Data Sheet'!B63</f>
        <v>11.12</v>
      </c>
      <c r="C11" s="55">
        <f>'Data Sheet'!C63</f>
        <v>1.67</v>
      </c>
      <c r="D11" s="55">
        <f>'Data Sheet'!D63</f>
        <v>1.59</v>
      </c>
      <c r="E11" s="55">
        <f>'Data Sheet'!E63</f>
        <v>4.8099999999999996</v>
      </c>
      <c r="F11" s="55">
        <f>'Data Sheet'!F63</f>
        <v>0</v>
      </c>
      <c r="G11" s="55">
        <f>'Data Sheet'!G63</f>
        <v>41.62</v>
      </c>
      <c r="H11" s="55">
        <f>'Data Sheet'!H63</f>
        <v>94.07</v>
      </c>
      <c r="I11" s="55">
        <f>'Data Sheet'!I63</f>
        <v>1.97</v>
      </c>
      <c r="J11" s="55">
        <f>'Data Sheet'!J63</f>
        <v>9.01</v>
      </c>
      <c r="K11" s="59">
        <f>'Data Sheet'!K63</f>
        <v>25.89</v>
      </c>
    </row>
    <row r="12" spans="1:15" ht="15" x14ac:dyDescent="0.25">
      <c r="A12" s="602" t="s">
        <v>20</v>
      </c>
      <c r="B12" s="55">
        <f>'Data Sheet'!B64</f>
        <v>34.49</v>
      </c>
      <c r="C12" s="55">
        <f>'Data Sheet'!C64</f>
        <v>44.77</v>
      </c>
      <c r="D12" s="55">
        <f>'Data Sheet'!D64</f>
        <v>34.869999999999997</v>
      </c>
      <c r="E12" s="55">
        <f>'Data Sheet'!E64</f>
        <v>40.31</v>
      </c>
      <c r="F12" s="55">
        <f>'Data Sheet'!F64</f>
        <v>111.09</v>
      </c>
      <c r="G12" s="55">
        <f>'Data Sheet'!G64</f>
        <v>33.15</v>
      </c>
      <c r="H12" s="55">
        <f>'Data Sheet'!H64</f>
        <v>359.61</v>
      </c>
      <c r="I12" s="55">
        <f>'Data Sheet'!I64</f>
        <v>584.45000000000005</v>
      </c>
      <c r="J12" s="55">
        <f>'Data Sheet'!J64</f>
        <v>630.16999999999996</v>
      </c>
      <c r="K12" s="59">
        <f>'Data Sheet'!K64</f>
        <v>680.48</v>
      </c>
    </row>
    <row r="13" spans="1:15" ht="15" x14ac:dyDescent="0.25">
      <c r="A13" s="602" t="s">
        <v>59</v>
      </c>
      <c r="B13" s="55">
        <f>'Data Sheet'!B65</f>
        <v>78.03</v>
      </c>
      <c r="C13" s="55">
        <f>'Data Sheet'!C65</f>
        <v>92.99</v>
      </c>
      <c r="D13" s="55">
        <f>'Data Sheet'!D65</f>
        <v>160.79</v>
      </c>
      <c r="E13" s="55">
        <f>'Data Sheet'!E65</f>
        <v>275.72000000000003</v>
      </c>
      <c r="F13" s="55">
        <f>'Data Sheet'!F65</f>
        <v>276.92</v>
      </c>
      <c r="G13" s="55">
        <f>'Data Sheet'!G65</f>
        <v>443.84</v>
      </c>
      <c r="H13" s="55">
        <f>'Data Sheet'!H65</f>
        <v>454.49</v>
      </c>
      <c r="I13" s="55">
        <f>'Data Sheet'!I65</f>
        <v>627.70000000000005</v>
      </c>
      <c r="J13" s="55">
        <f>'Data Sheet'!J65</f>
        <v>683.11</v>
      </c>
      <c r="K13" s="59">
        <f>'Data Sheet'!K65</f>
        <v>902.71</v>
      </c>
    </row>
    <row r="14" spans="1:15" s="52" customFormat="1" x14ac:dyDescent="0.2">
      <c r="A14" s="304" t="s">
        <v>17</v>
      </c>
      <c r="B14" s="56">
        <f>'Data Sheet'!B66</f>
        <v>150.41999999999999</v>
      </c>
      <c r="C14" s="56">
        <f>'Data Sheet'!C66</f>
        <v>182.52</v>
      </c>
      <c r="D14" s="56">
        <f>'Data Sheet'!D66</f>
        <v>248.1</v>
      </c>
      <c r="E14" s="56">
        <f>'Data Sheet'!E66</f>
        <v>398.35</v>
      </c>
      <c r="F14" s="56">
        <f>'Data Sheet'!F66</f>
        <v>477.58</v>
      </c>
      <c r="G14" s="56">
        <f>'Data Sheet'!G66</f>
        <v>622.6</v>
      </c>
      <c r="H14" s="56">
        <f>'Data Sheet'!H66</f>
        <v>1068.6400000000001</v>
      </c>
      <c r="I14" s="56">
        <f>'Data Sheet'!I66</f>
        <v>1526.26</v>
      </c>
      <c r="J14" s="56">
        <f>'Data Sheet'!J66</f>
        <v>1614.82</v>
      </c>
      <c r="K14" s="60">
        <f>'Data Sheet'!K66</f>
        <v>1879.95</v>
      </c>
    </row>
    <row r="15" spans="1:15" ht="21" x14ac:dyDescent="0.2">
      <c r="A15" s="303"/>
      <c r="B15" s="57"/>
      <c r="C15" s="57"/>
      <c r="D15" s="57"/>
      <c r="E15" s="57"/>
      <c r="F15" s="57"/>
      <c r="G15" s="57"/>
      <c r="H15" s="57"/>
      <c r="I15" s="57"/>
      <c r="J15" s="57"/>
      <c r="K15" s="61"/>
      <c r="M15" s="74"/>
      <c r="N15" s="74"/>
    </row>
    <row r="16" spans="1:15" ht="15" x14ac:dyDescent="0.25">
      <c r="A16" s="305" t="s">
        <v>21</v>
      </c>
      <c r="B16" s="57">
        <f>B13-B7</f>
        <v>51.59</v>
      </c>
      <c r="C16" s="57">
        <f t="shared" ref="C16:K16" si="0">C13-C7</f>
        <v>53.649999999999991</v>
      </c>
      <c r="D16" s="57">
        <f t="shared" si="0"/>
        <v>98.86999999999999</v>
      </c>
      <c r="E16" s="57">
        <f t="shared" si="0"/>
        <v>113.06000000000003</v>
      </c>
      <c r="F16" s="57">
        <f t="shared" si="0"/>
        <v>123.03000000000003</v>
      </c>
      <c r="G16" s="57">
        <f t="shared" si="0"/>
        <v>254.73999999999998</v>
      </c>
      <c r="H16" s="57">
        <f t="shared" si="0"/>
        <v>40.53000000000003</v>
      </c>
      <c r="I16" s="57">
        <f t="shared" si="0"/>
        <v>139.79000000000002</v>
      </c>
      <c r="J16" s="57">
        <f t="shared" si="0"/>
        <v>283.59000000000003</v>
      </c>
      <c r="K16" s="61">
        <f t="shared" si="0"/>
        <v>428.01000000000005</v>
      </c>
      <c r="M16"/>
      <c r="N16"/>
    </row>
    <row r="17" spans="1:14" ht="15" x14ac:dyDescent="0.25">
      <c r="A17" s="603" t="s">
        <v>64</v>
      </c>
      <c r="B17" s="57">
        <f>'Data Sheet'!B67</f>
        <v>22.81</v>
      </c>
      <c r="C17" s="57">
        <f>'Data Sheet'!C67</f>
        <v>15.51</v>
      </c>
      <c r="D17" s="57">
        <f>'Data Sheet'!D67</f>
        <v>39.729999999999997</v>
      </c>
      <c r="E17" s="57">
        <f>'Data Sheet'!E67</f>
        <v>45.02</v>
      </c>
      <c r="F17" s="57">
        <f>'Data Sheet'!F67</f>
        <v>33.56</v>
      </c>
      <c r="G17" s="57">
        <f>'Data Sheet'!G67</f>
        <v>34.97</v>
      </c>
      <c r="H17" s="57">
        <f>'Data Sheet'!H67</f>
        <v>23.41</v>
      </c>
      <c r="I17" s="57">
        <f>'Data Sheet'!I67</f>
        <v>50.03</v>
      </c>
      <c r="J17" s="57">
        <f>'Data Sheet'!J67</f>
        <v>48.64</v>
      </c>
      <c r="K17" s="61">
        <f>'Data Sheet'!K67</f>
        <v>88.77</v>
      </c>
      <c r="M17"/>
      <c r="N17"/>
    </row>
    <row r="18" spans="1:14" ht="15.75" thickBot="1" x14ac:dyDescent="0.3">
      <c r="A18" s="627" t="s">
        <v>35</v>
      </c>
      <c r="B18" s="306">
        <f>'Data Sheet'!B68</f>
        <v>39.049999999999997</v>
      </c>
      <c r="C18" s="306">
        <f>'Data Sheet'!C68</f>
        <v>42.15</v>
      </c>
      <c r="D18" s="306">
        <f>'Data Sheet'!D68</f>
        <v>97.16</v>
      </c>
      <c r="E18" s="306">
        <f>'Data Sheet'!E68</f>
        <v>199.15</v>
      </c>
      <c r="F18" s="306">
        <f>'Data Sheet'!F68</f>
        <v>222.02</v>
      </c>
      <c r="G18" s="306">
        <f>'Data Sheet'!G68</f>
        <v>285.55</v>
      </c>
      <c r="H18" s="306">
        <f>'Data Sheet'!H68</f>
        <v>355.7</v>
      </c>
      <c r="I18" s="306">
        <f>'Data Sheet'!I68</f>
        <v>524.80999999999995</v>
      </c>
      <c r="J18" s="306">
        <f>'Data Sheet'!J68</f>
        <v>379.06</v>
      </c>
      <c r="K18" s="307">
        <f>'Data Sheet'!K68</f>
        <v>543.51</v>
      </c>
    </row>
    <row r="19" spans="1:14" s="301" customFormat="1" ht="13.5" thickBot="1" x14ac:dyDescent="0.25">
      <c r="A19" s="944" t="s">
        <v>311</v>
      </c>
      <c r="B19" s="945"/>
      <c r="C19" s="945"/>
      <c r="D19" s="945"/>
      <c r="E19" s="945"/>
      <c r="F19" s="945"/>
      <c r="G19" s="945"/>
      <c r="H19" s="945"/>
      <c r="I19" s="945"/>
      <c r="J19" s="945"/>
      <c r="K19" s="946"/>
    </row>
    <row r="20" spans="1:14" ht="15" customHeight="1" x14ac:dyDescent="0.2"/>
    <row r="21" spans="1:14" x14ac:dyDescent="0.2">
      <c r="B21" s="58"/>
      <c r="C21" s="58"/>
      <c r="D21" s="58"/>
      <c r="E21" s="58"/>
      <c r="F21" s="58"/>
      <c r="G21" s="58"/>
      <c r="H21" s="58"/>
      <c r="I21" s="58"/>
      <c r="J21" s="58"/>
      <c r="K21" s="58"/>
    </row>
    <row r="22" spans="1:14" s="54" customFormat="1" x14ac:dyDescent="0.2"/>
  </sheetData>
  <mergeCells count="4">
    <mergeCell ref="A1:K1"/>
    <mergeCell ref="A2:K2"/>
    <mergeCell ref="A19:K19"/>
    <mergeCell ref="L1:O1"/>
  </mergeCells>
  <conditionalFormatting sqref="C6">
    <cfRule type="expression" dxfId="309" priority="15">
      <formula>C6&lt;B6</formula>
    </cfRule>
    <cfRule type="expression" dxfId="308" priority="16">
      <formula>C6&gt;B6</formula>
    </cfRule>
  </conditionalFormatting>
  <conditionalFormatting sqref="D6:K6">
    <cfRule type="expression" dxfId="307" priority="11">
      <formula>D6&lt;C6</formula>
    </cfRule>
    <cfRule type="expression" dxfId="306" priority="12">
      <formula>D6&gt;C6</formula>
    </cfRule>
  </conditionalFormatting>
  <conditionalFormatting sqref="C4:K4">
    <cfRule type="expression" dxfId="305" priority="9">
      <formula>C4&lt;B4</formula>
    </cfRule>
    <cfRule type="expression" dxfId="304" priority="10">
      <formula>C4&gt;B4</formula>
    </cfRule>
  </conditionalFormatting>
  <conditionalFormatting sqref="C5">
    <cfRule type="expression" dxfId="303" priority="5">
      <formula>C5&lt;B5</formula>
    </cfRule>
    <cfRule type="expression" dxfId="302" priority="8">
      <formula>C5&gt;B5</formula>
    </cfRule>
  </conditionalFormatting>
  <conditionalFormatting sqref="D5:K5">
    <cfRule type="expression" dxfId="301" priority="3">
      <formula>D5&lt;C5</formula>
    </cfRule>
    <cfRule type="expression" dxfId="300" priority="4">
      <formula>D5&gt;C5</formula>
    </cfRule>
  </conditionalFormatting>
  <conditionalFormatting sqref="C12:K12">
    <cfRule type="expression" dxfId="299" priority="1">
      <formula>C12&lt;B12</formula>
    </cfRule>
    <cfRule type="expression" dxfId="298" priority="2">
      <formula>C12&gt;B12</formula>
    </cfRule>
  </conditionalFormatting>
  <hyperlinks>
    <hyperlink ref="L9" r:id="rId1"/>
    <hyperlink ref="A4" location="'Balance sheet Flow chart'!B9" display="Equity Share Capital"/>
    <hyperlink ref="A5" location="'Balance sheet Flow chart'!D9" display="Reserves"/>
    <hyperlink ref="A6" location="'Balance sheet Flow chart'!F5" display="Borrowings"/>
    <hyperlink ref="A7" location="'Balance sheet Flow chart'!H9" display="Other Liabilities"/>
    <hyperlink ref="A10" location="'Balance sheet Flow chart'!J7" display="Net Block"/>
    <hyperlink ref="A11" location="'Balance sheet Flow chart'!J8" display="Capital Work in Progress"/>
    <hyperlink ref="A12" location="'Balance sheet Flow chart'!L9" display="Investments"/>
    <hyperlink ref="A13" location="'Balance sheet Flow chart'!N9" display="Other Assets"/>
    <hyperlink ref="A17" location="'Balance sheet Flow chart'!P9" display="Receivables"/>
    <hyperlink ref="A18" location="'Balance sheet Flow chart'!R8" display="Inventory"/>
    <hyperlink ref="L1:O1" r:id="rId2" display="http://www.investordiary.in/"/>
  </hyperlinks>
  <printOptions gridLines="1"/>
  <pageMargins left="0.7" right="0.7" top="0.75" bottom="0.75" header="0.3" footer="0.3"/>
  <pageSetup paperSize="9"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zoomScale="145" zoomScaleNormal="145" workbookViewId="0">
      <selection sqref="A1:K1"/>
    </sheetView>
  </sheetViews>
  <sheetFormatPr defaultRowHeight="15" x14ac:dyDescent="0.25"/>
  <cols>
    <col min="1" max="1" width="22.140625" bestFit="1" customWidth="1"/>
    <col min="2" max="11" width="7.28515625" bestFit="1" customWidth="1"/>
    <col min="12" max="12" width="7.140625" customWidth="1"/>
    <col min="13" max="15" width="5.7109375" bestFit="1" customWidth="1"/>
  </cols>
  <sheetData>
    <row r="1" spans="1:15" ht="16.5" thickBot="1" x14ac:dyDescent="0.3">
      <c r="A1" s="949" t="s">
        <v>314</v>
      </c>
      <c r="B1" s="950"/>
      <c r="C1" s="950"/>
      <c r="D1" s="950"/>
      <c r="E1" s="950"/>
      <c r="F1" s="950"/>
      <c r="G1" s="950"/>
      <c r="H1" s="950"/>
      <c r="I1" s="950"/>
      <c r="J1" s="950"/>
      <c r="K1" s="951"/>
      <c r="L1" s="8"/>
      <c r="M1" s="299" t="s">
        <v>218</v>
      </c>
      <c r="N1" s="299" t="s">
        <v>219</v>
      </c>
      <c r="O1" s="299" t="s">
        <v>220</v>
      </c>
    </row>
    <row r="2" spans="1:15" x14ac:dyDescent="0.25">
      <c r="A2" s="193" t="s">
        <v>148</v>
      </c>
      <c r="B2" s="194">
        <f>'Income statement CFA'!B2</f>
        <v>40633</v>
      </c>
      <c r="C2" s="194">
        <f>'Income statement CFA'!C2</f>
        <v>40999</v>
      </c>
      <c r="D2" s="194">
        <f>'Income statement CFA'!D2</f>
        <v>41364</v>
      </c>
      <c r="E2" s="194">
        <f>'Income statement CFA'!E2</f>
        <v>41729</v>
      </c>
      <c r="F2" s="194">
        <f>'Income statement CFA'!F2</f>
        <v>42094</v>
      </c>
      <c r="G2" s="194">
        <f>'Income statement CFA'!G2</f>
        <v>42460</v>
      </c>
      <c r="H2" s="194">
        <f>'Income statement CFA'!H2</f>
        <v>42825</v>
      </c>
      <c r="I2" s="194">
        <f>'Income statement CFA'!I2</f>
        <v>43190</v>
      </c>
      <c r="J2" s="194">
        <f>'Income statement CFA'!J2</f>
        <v>43555</v>
      </c>
      <c r="K2" s="188">
        <f>'Income statement CFA'!K2</f>
        <v>43921</v>
      </c>
      <c r="L2" s="8"/>
      <c r="M2" s="300"/>
      <c r="N2" s="300"/>
      <c r="O2" s="300"/>
    </row>
    <row r="3" spans="1:15" x14ac:dyDescent="0.25">
      <c r="A3" s="603" t="s">
        <v>15</v>
      </c>
      <c r="B3" s="22">
        <f>'Data Sheet'!B57/'Data Sheet'!B$61</f>
        <v>5.3184416965829019E-2</v>
      </c>
      <c r="C3" s="363">
        <f>'Data Sheet'!C57/'Data Sheet'!C$61</f>
        <v>4.3830813061582291E-2</v>
      </c>
      <c r="D3" s="363">
        <f>'Data Sheet'!D57/'Data Sheet'!D$61</f>
        <v>3.6598145908907698E-2</v>
      </c>
      <c r="E3" s="363">
        <f>'Data Sheet'!E57/'Data Sheet'!E$61</f>
        <v>2.2794025354587674E-2</v>
      </c>
      <c r="F3" s="363">
        <f>'Data Sheet'!F57/'Data Sheet'!F$61</f>
        <v>1.9012521462372797E-2</v>
      </c>
      <c r="G3" s="363">
        <f>'Data Sheet'!G57/'Data Sheet'!G$61</f>
        <v>1.4584002569868294E-2</v>
      </c>
      <c r="H3" s="363">
        <f>'Data Sheet'!H57/'Data Sheet'!H$61</f>
        <v>8.4967809552328188E-3</v>
      </c>
      <c r="I3" s="363">
        <f>'Data Sheet'!I57/'Data Sheet'!I$61</f>
        <v>5.9491829701361501E-3</v>
      </c>
      <c r="J3" s="363">
        <f>'Data Sheet'!J57/'Data Sheet'!J$61</f>
        <v>8.4343765868641705E-3</v>
      </c>
      <c r="K3" s="379">
        <f>'Data Sheet'!K57/'Data Sheet'!K$61</f>
        <v>7.2448735338705812E-3</v>
      </c>
      <c r="L3" s="8"/>
      <c r="M3" s="297">
        <f t="shared" ref="M3:M15" si="0">AVERAGE(B3:K3)</f>
        <v>2.2012913936925151E-2</v>
      </c>
      <c r="N3" s="297">
        <f t="shared" ref="N3:N15" si="1">MIN(B3:K3)</f>
        <v>5.9491829701361501E-3</v>
      </c>
      <c r="O3" s="297">
        <f t="shared" ref="O3:O15" si="2">MAX(B3:K3)</f>
        <v>5.3184416965829019E-2</v>
      </c>
    </row>
    <row r="4" spans="1:15" x14ac:dyDescent="0.25">
      <c r="A4" s="603" t="s">
        <v>16</v>
      </c>
      <c r="B4" s="22">
        <f>'Data Sheet'!B58/'Data Sheet'!B$61</f>
        <v>0.40898816646722513</v>
      </c>
      <c r="C4" s="380">
        <f>'Data Sheet'!C58/'Data Sheet'!C$61</f>
        <v>0.46904448827525747</v>
      </c>
      <c r="D4" s="380">
        <f>'Data Sheet'!D58/'Data Sheet'!D$61</f>
        <v>0.46763401854091091</v>
      </c>
      <c r="E4" s="380">
        <f>'Data Sheet'!E58/'Data Sheet'!E$61</f>
        <v>0.42799046065018198</v>
      </c>
      <c r="F4" s="380">
        <f>'Data Sheet'!F58/'Data Sheet'!F$61</f>
        <v>0.53647556430336274</v>
      </c>
      <c r="G4" s="380">
        <f>'Data Sheet'!G58/'Data Sheet'!G$61</f>
        <v>0.66448763250883391</v>
      </c>
      <c r="H4" s="380">
        <f>'Data Sheet'!H58/'Data Sheet'!H$61</f>
        <v>0.58610944752208416</v>
      </c>
      <c r="I4" s="380">
        <f>'Data Sheet'!I58/'Data Sheet'!I$61</f>
        <v>0.66987276086643166</v>
      </c>
      <c r="J4" s="380">
        <f>'Data Sheet'!J58/'Data Sheet'!J$61</f>
        <v>0.73837331714989907</v>
      </c>
      <c r="K4" s="380">
        <f>'Data Sheet'!K58/'Data Sheet'!K$61</f>
        <v>0.7394132822681454</v>
      </c>
      <c r="L4" s="8"/>
      <c r="M4" s="297">
        <f t="shared" si="0"/>
        <v>0.57083891385523322</v>
      </c>
      <c r="N4" s="297">
        <f t="shared" si="1"/>
        <v>0.40898816646722513</v>
      </c>
      <c r="O4" s="297">
        <f t="shared" si="2"/>
        <v>0.7394132822681454</v>
      </c>
    </row>
    <row r="5" spans="1:15" x14ac:dyDescent="0.25">
      <c r="A5" s="603" t="s">
        <v>57</v>
      </c>
      <c r="B5" s="22">
        <f>'Data Sheet'!B59/'Data Sheet'!B$61</f>
        <v>0.36205291849488103</v>
      </c>
      <c r="C5" s="22">
        <f>'Data Sheet'!C59/'Data Sheet'!C$61</f>
        <v>0.27158667543282927</v>
      </c>
      <c r="D5" s="22">
        <f>'Data Sheet'!D59/'Data Sheet'!D$61</f>
        <v>0.24619105199516325</v>
      </c>
      <c r="E5" s="22">
        <f>'Data Sheet'!E59/'Data Sheet'!E$61</f>
        <v>0.1408811346805573</v>
      </c>
      <c r="F5" s="22">
        <f>'Data Sheet'!F59/'Data Sheet'!F$61</f>
        <v>0.12228317768750785</v>
      </c>
      <c r="G5" s="22">
        <f>'Data Sheet'!G59/'Data Sheet'!G$61</f>
        <v>1.7202055894635401E-2</v>
      </c>
      <c r="H5" s="22">
        <f>'Data Sheet'!H59/'Data Sheet'!H$61</f>
        <v>1.8022907620901332E-2</v>
      </c>
      <c r="I5" s="22">
        <f>'Data Sheet'!I59/'Data Sheet'!I$61</f>
        <v>4.5011990093431001E-3</v>
      </c>
      <c r="J5" s="22">
        <f>'Data Sheet'!J59/'Data Sheet'!J$61</f>
        <v>5.7839263818877645E-3</v>
      </c>
      <c r="K5" s="22">
        <f>'Data Sheet'!K59/'Data Sheet'!K$61</f>
        <v>8.3512859384558098E-4</v>
      </c>
      <c r="L5" s="8"/>
      <c r="M5" s="297">
        <f t="shared" si="0"/>
        <v>0.11893401757915514</v>
      </c>
      <c r="N5" s="297">
        <f t="shared" si="1"/>
        <v>8.3512859384558098E-4</v>
      </c>
      <c r="O5" s="297">
        <f t="shared" si="2"/>
        <v>0.36205291849488103</v>
      </c>
    </row>
    <row r="6" spans="1:15" x14ac:dyDescent="0.25">
      <c r="A6" s="603" t="s">
        <v>58</v>
      </c>
      <c r="B6" s="22">
        <f>'Data Sheet'!B60/'Data Sheet'!B$61</f>
        <v>0.17577449807206491</v>
      </c>
      <c r="C6" s="22">
        <f>'Data Sheet'!C60/'Data Sheet'!C$61</f>
        <v>0.21553802323033092</v>
      </c>
      <c r="D6" s="22">
        <f>'Data Sheet'!D60/'Data Sheet'!D$61</f>
        <v>0.24957678355501814</v>
      </c>
      <c r="E6" s="22">
        <f>'Data Sheet'!E60/'Data Sheet'!E$61</f>
        <v>0.40833437931467298</v>
      </c>
      <c r="F6" s="22">
        <f>'Data Sheet'!F60/'Data Sheet'!F$61</f>
        <v>0.32222873654675654</v>
      </c>
      <c r="G6" s="22">
        <f>'Data Sheet'!G60/'Data Sheet'!G$61</f>
        <v>0.30372630902666237</v>
      </c>
      <c r="H6" s="22">
        <f>'Data Sheet'!H60/'Data Sheet'!H$61</f>
        <v>0.38737086390178166</v>
      </c>
      <c r="I6" s="22">
        <f>'Data Sheet'!I60/'Data Sheet'!I$61</f>
        <v>0.31967685715408911</v>
      </c>
      <c r="J6" s="22">
        <f>'Data Sheet'!J60/'Data Sheet'!J$61</f>
        <v>0.24740837988134901</v>
      </c>
      <c r="K6" s="48">
        <f>'Data Sheet'!K60/'Data Sheet'!K$61</f>
        <v>0.2525067156041384</v>
      </c>
      <c r="L6" s="8"/>
      <c r="M6" s="297">
        <f t="shared" si="0"/>
        <v>0.28821415462868644</v>
      </c>
      <c r="N6" s="297">
        <f t="shared" si="1"/>
        <v>0.17577449807206491</v>
      </c>
      <c r="O6" s="297">
        <f t="shared" si="2"/>
        <v>0.40833437931467298</v>
      </c>
    </row>
    <row r="7" spans="1:15" x14ac:dyDescent="0.25">
      <c r="A7" s="107" t="s">
        <v>139</v>
      </c>
      <c r="B7" s="108">
        <v>1</v>
      </c>
      <c r="C7" s="108">
        <v>1</v>
      </c>
      <c r="D7" s="108">
        <v>1</v>
      </c>
      <c r="E7" s="108">
        <v>1</v>
      </c>
      <c r="F7" s="108">
        <v>1</v>
      </c>
      <c r="G7" s="108">
        <v>1</v>
      </c>
      <c r="H7" s="108">
        <v>1</v>
      </c>
      <c r="I7" s="108">
        <v>1</v>
      </c>
      <c r="J7" s="108">
        <v>1</v>
      </c>
      <c r="K7" s="109">
        <v>1</v>
      </c>
      <c r="L7" s="8"/>
      <c r="M7" s="297">
        <f t="shared" si="0"/>
        <v>1</v>
      </c>
      <c r="N7" s="297">
        <f t="shared" si="1"/>
        <v>1</v>
      </c>
      <c r="O7" s="297">
        <f t="shared" si="2"/>
        <v>1</v>
      </c>
    </row>
    <row r="8" spans="1:15" x14ac:dyDescent="0.25">
      <c r="A8" s="603" t="s">
        <v>18</v>
      </c>
      <c r="B8" s="22">
        <f>'Data Sheet'!B62/'Data Sheet'!B$66</f>
        <v>0.17803483579311263</v>
      </c>
      <c r="C8" s="22">
        <f>'Data Sheet'!C62/'Data Sheet'!C$66</f>
        <v>0.23608371685294763</v>
      </c>
      <c r="D8" s="22">
        <f>'Data Sheet'!D62/'Data Sheet'!D$66</f>
        <v>0.20495767835550183</v>
      </c>
      <c r="E8" s="22">
        <f>'Data Sheet'!E62/'Data Sheet'!E$66</f>
        <v>0.19457763273503201</v>
      </c>
      <c r="F8" s="22">
        <f>'Data Sheet'!F62/'Data Sheet'!F$66</f>
        <v>0.18754972988818627</v>
      </c>
      <c r="G8" s="22">
        <f>'Data Sheet'!G62/'Data Sheet'!G$66</f>
        <v>0.16702537744940571</v>
      </c>
      <c r="H8" s="22">
        <f>'Data Sheet'!H62/'Data Sheet'!H$66</f>
        <v>0.15016282377601436</v>
      </c>
      <c r="I8" s="22">
        <f>'Data Sheet'!I62/'Data Sheet'!I$66</f>
        <v>0.2045129925438654</v>
      </c>
      <c r="J8" s="22">
        <f>'Data Sheet'!J62/'Data Sheet'!J$66</f>
        <v>0.18115331739760468</v>
      </c>
      <c r="K8" s="48">
        <f>'Data Sheet'!K62/'Data Sheet'!K$66</f>
        <v>0.1440836192451927</v>
      </c>
      <c r="L8" s="8"/>
      <c r="M8" s="297">
        <f t="shared" si="0"/>
        <v>0.18481417240368631</v>
      </c>
      <c r="N8" s="297">
        <f t="shared" si="1"/>
        <v>0.1440836192451927</v>
      </c>
      <c r="O8" s="297">
        <f t="shared" si="2"/>
        <v>0.23608371685294763</v>
      </c>
    </row>
    <row r="9" spans="1:15" x14ac:dyDescent="0.25">
      <c r="A9" s="603" t="s">
        <v>19</v>
      </c>
      <c r="B9" s="22">
        <f>'Data Sheet'!B63/'Data Sheet'!B$66</f>
        <v>7.3926339582502332E-2</v>
      </c>
      <c r="C9" s="22">
        <f>'Data Sheet'!C63/'Data Sheet'!C$66</f>
        <v>9.1496822266053032E-3</v>
      </c>
      <c r="D9" s="22">
        <f>'Data Sheet'!D63/'Data Sheet'!D$66</f>
        <v>6.4087061668681991E-3</v>
      </c>
      <c r="E9" s="22">
        <f>'Data Sheet'!E63/'Data Sheet'!E$66</f>
        <v>1.2074808585414834E-2</v>
      </c>
      <c r="F9" s="22">
        <f>'Data Sheet'!F63/'Data Sheet'!F$66</f>
        <v>0</v>
      </c>
      <c r="G9" s="22">
        <f>'Data Sheet'!G63/'Data Sheet'!G$66</f>
        <v>6.6848699004176032E-2</v>
      </c>
      <c r="H9" s="22">
        <f>'Data Sheet'!H63/'Data Sheet'!H$66</f>
        <v>8.8027773618805191E-2</v>
      </c>
      <c r="I9" s="22">
        <f>'Data Sheet'!I63/'Data Sheet'!I$66</f>
        <v>1.2907368338290987E-3</v>
      </c>
      <c r="J9" s="22">
        <f>'Data Sheet'!J63/'Data Sheet'!J$66</f>
        <v>5.5795692399152851E-3</v>
      </c>
      <c r="K9" s="48">
        <f>'Data Sheet'!K63/'Data Sheet'!K$66</f>
        <v>1.3771642862842097E-2</v>
      </c>
      <c r="L9" s="8"/>
      <c r="M9" s="297">
        <f t="shared" si="0"/>
        <v>2.7707795812095835E-2</v>
      </c>
      <c r="N9" s="297">
        <f t="shared" si="1"/>
        <v>0</v>
      </c>
      <c r="O9" s="297">
        <f t="shared" si="2"/>
        <v>8.8027773618805191E-2</v>
      </c>
    </row>
    <row r="10" spans="1:15" x14ac:dyDescent="0.25">
      <c r="A10" s="603" t="s">
        <v>20</v>
      </c>
      <c r="B10" s="22">
        <f>'Data Sheet'!B64/'Data Sheet'!B$66</f>
        <v>0.22929131764393035</v>
      </c>
      <c r="C10" s="380">
        <f>'Data Sheet'!C64/'Data Sheet'!C$66</f>
        <v>0.24528818759587992</v>
      </c>
      <c r="D10" s="380">
        <f>'Data Sheet'!D64/'Data Sheet'!D$66</f>
        <v>0.14054816606207174</v>
      </c>
      <c r="E10" s="380">
        <f>'Data Sheet'!E64/'Data Sheet'!E$66</f>
        <v>0.10119241872724991</v>
      </c>
      <c r="F10" s="380">
        <f>'Data Sheet'!F64/'Data Sheet'!F$66</f>
        <v>0.23261024331002136</v>
      </c>
      <c r="G10" s="380">
        <f>'Data Sheet'!G64/'Data Sheet'!G$66</f>
        <v>5.3244458721490522E-2</v>
      </c>
      <c r="H10" s="380">
        <f>'Data Sheet'!H64/'Data Sheet'!H$66</f>
        <v>0.33651182811798169</v>
      </c>
      <c r="I10" s="380">
        <f>'Data Sheet'!I64/'Data Sheet'!I$66</f>
        <v>0.38292951397533842</v>
      </c>
      <c r="J10" s="380">
        <f>'Data Sheet'!J64/'Data Sheet'!J$66</f>
        <v>0.39024163683878077</v>
      </c>
      <c r="K10" s="380">
        <f>'Data Sheet'!K64/'Data Sheet'!K$66</f>
        <v>0.36196707359238278</v>
      </c>
      <c r="L10" s="8"/>
      <c r="M10" s="297">
        <f t="shared" si="0"/>
        <v>0.24738248445851277</v>
      </c>
      <c r="N10" s="297">
        <f t="shared" si="1"/>
        <v>5.3244458721490522E-2</v>
      </c>
      <c r="O10" s="297">
        <f t="shared" si="2"/>
        <v>0.39024163683878077</v>
      </c>
    </row>
    <row r="11" spans="1:15" x14ac:dyDescent="0.25">
      <c r="A11" s="603" t="s">
        <v>59</v>
      </c>
      <c r="B11" s="22">
        <f>'Data Sheet'!B65/'Data Sheet'!B$66</f>
        <v>0.5187475069804548</v>
      </c>
      <c r="C11" s="22">
        <f>'Data Sheet'!C65/'Data Sheet'!C$66</f>
        <v>0.50947841332456711</v>
      </c>
      <c r="D11" s="22">
        <f>'Data Sheet'!D65/'Data Sheet'!D$66</f>
        <v>0.64808544941555823</v>
      </c>
      <c r="E11" s="22">
        <f>'Data Sheet'!E65/'Data Sheet'!E$66</f>
        <v>0.69215513995230327</v>
      </c>
      <c r="F11" s="22">
        <f>'Data Sheet'!F65/'Data Sheet'!F$66</f>
        <v>0.57984002680179247</v>
      </c>
      <c r="G11" s="22">
        <f>'Data Sheet'!G65/'Data Sheet'!G$66</f>
        <v>0.71288146482492765</v>
      </c>
      <c r="H11" s="22">
        <f>'Data Sheet'!H65/'Data Sheet'!H$66</f>
        <v>0.42529757448719863</v>
      </c>
      <c r="I11" s="22">
        <f>'Data Sheet'!I65/'Data Sheet'!I$66</f>
        <v>0.4112667566469671</v>
      </c>
      <c r="J11" s="22">
        <f>'Data Sheet'!J65/'Data Sheet'!J$66</f>
        <v>0.42302547652369926</v>
      </c>
      <c r="K11" s="48">
        <f>'Data Sheet'!K65/'Data Sheet'!K$66</f>
        <v>0.48017766429958242</v>
      </c>
      <c r="L11" s="8"/>
      <c r="M11" s="297">
        <f t="shared" si="0"/>
        <v>0.54009554732570508</v>
      </c>
      <c r="N11" s="297">
        <f t="shared" si="1"/>
        <v>0.4112667566469671</v>
      </c>
      <c r="O11" s="297">
        <f t="shared" si="2"/>
        <v>0.71288146482492765</v>
      </c>
    </row>
    <row r="12" spans="1:15" x14ac:dyDescent="0.25">
      <c r="A12" s="107" t="s">
        <v>140</v>
      </c>
      <c r="B12" s="108">
        <v>1</v>
      </c>
      <c r="C12" s="108">
        <v>1</v>
      </c>
      <c r="D12" s="108">
        <v>1</v>
      </c>
      <c r="E12" s="108">
        <v>1</v>
      </c>
      <c r="F12" s="108">
        <v>1</v>
      </c>
      <c r="G12" s="108">
        <v>1</v>
      </c>
      <c r="H12" s="108">
        <v>1</v>
      </c>
      <c r="I12" s="108">
        <v>1</v>
      </c>
      <c r="J12" s="108">
        <v>1</v>
      </c>
      <c r="K12" s="109">
        <v>1</v>
      </c>
      <c r="L12" s="8"/>
      <c r="M12" s="297">
        <f t="shared" si="0"/>
        <v>1</v>
      </c>
      <c r="N12" s="297">
        <f t="shared" si="1"/>
        <v>1</v>
      </c>
      <c r="O12" s="297">
        <f t="shared" si="2"/>
        <v>1</v>
      </c>
    </row>
    <row r="13" spans="1:15" x14ac:dyDescent="0.25">
      <c r="A13" s="603" t="s">
        <v>64</v>
      </c>
      <c r="B13" s="22">
        <f>'Data Sheet'!B67/'Data Sheet'!B$66</f>
        <v>0.15164206887381998</v>
      </c>
      <c r="C13" s="22">
        <f>'Data Sheet'!C67/'Data Sheet'!C$66</f>
        <v>8.4976988823142668E-2</v>
      </c>
      <c r="D13" s="22">
        <f>'Data Sheet'!D67/'Data Sheet'!D$66</f>
        <v>0.16013704151551791</v>
      </c>
      <c r="E13" s="22">
        <f>'Data Sheet'!E67/'Data Sheet'!E$66</f>
        <v>0.11301619179113845</v>
      </c>
      <c r="F13" s="22">
        <f>'Data Sheet'!F67/'Data Sheet'!F$66</f>
        <v>7.0270949369739114E-2</v>
      </c>
      <c r="G13" s="22">
        <f>'Data Sheet'!G67/'Data Sheet'!G$66</f>
        <v>5.6167683906199806E-2</v>
      </c>
      <c r="H13" s="22">
        <f>'Data Sheet'!H67/'Data Sheet'!H$66</f>
        <v>2.1906348255726904E-2</v>
      </c>
      <c r="I13" s="22">
        <f>'Data Sheet'!I67/'Data Sheet'!I$66</f>
        <v>3.2779474008360308E-2</v>
      </c>
      <c r="J13" s="22">
        <f>'Data Sheet'!J67/'Data Sheet'!J$66</f>
        <v>3.0121004198610375E-2</v>
      </c>
      <c r="K13" s="22">
        <f>'Data Sheet'!K67/'Data Sheet'!K$66</f>
        <v>4.7219340939918614E-2</v>
      </c>
      <c r="L13" s="8"/>
      <c r="M13" s="297">
        <f t="shared" si="0"/>
        <v>7.682370916821743E-2</v>
      </c>
      <c r="N13" s="297">
        <f t="shared" si="1"/>
        <v>2.1906348255726904E-2</v>
      </c>
      <c r="O13" s="297">
        <f t="shared" si="2"/>
        <v>0.16013704151551791</v>
      </c>
    </row>
    <row r="14" spans="1:15" x14ac:dyDescent="0.25">
      <c r="A14" s="603" t="s">
        <v>35</v>
      </c>
      <c r="B14" s="22">
        <f>'Data Sheet'!B68/'Data Sheet'!B$66</f>
        <v>0.25960643531445288</v>
      </c>
      <c r="C14" s="22">
        <f>'Data Sheet'!C68/'Data Sheet'!C$66</f>
        <v>0.23093359631821167</v>
      </c>
      <c r="D14" s="22">
        <f>'Data Sheet'!D68/'Data Sheet'!D$66</f>
        <v>0.39161628375654978</v>
      </c>
      <c r="E14" s="22">
        <f>'Data Sheet'!E68/'Data Sheet'!E$66</f>
        <v>0.4999372411196184</v>
      </c>
      <c r="F14" s="22">
        <f>'Data Sheet'!F68/'Data Sheet'!F$66</f>
        <v>0.46488546421541943</v>
      </c>
      <c r="G14" s="22">
        <f>'Data Sheet'!G68/'Data Sheet'!G$66</f>
        <v>0.45864118213941535</v>
      </c>
      <c r="H14" s="22">
        <f>'Data Sheet'!H68/'Data Sheet'!H$66</f>
        <v>0.33285297200179664</v>
      </c>
      <c r="I14" s="22">
        <f>'Data Sheet'!I68/'Data Sheet'!I$66</f>
        <v>0.34385360292479655</v>
      </c>
      <c r="J14" s="22">
        <f>'Data Sheet'!J68/'Data Sheet'!J$66</f>
        <v>0.23473823707905525</v>
      </c>
      <c r="K14" s="22">
        <f>'Data Sheet'!K68/'Data Sheet'!K$66</f>
        <v>0.28910875289236415</v>
      </c>
      <c r="L14" s="8"/>
      <c r="M14" s="297">
        <f t="shared" si="0"/>
        <v>0.350617376776168</v>
      </c>
      <c r="N14" s="297">
        <f t="shared" si="1"/>
        <v>0.23093359631821167</v>
      </c>
      <c r="O14" s="297">
        <f t="shared" si="2"/>
        <v>0.4999372411196184</v>
      </c>
    </row>
    <row r="15" spans="1:15" ht="15.75" thickBot="1" x14ac:dyDescent="0.3">
      <c r="A15" s="628" t="s">
        <v>73</v>
      </c>
      <c r="B15" s="50">
        <f>'Data Sheet'!B69/'Data Sheet'!B$66</f>
        <v>3.0315117670522536E-2</v>
      </c>
      <c r="C15" s="380">
        <f>'Data Sheet'!C69/'Data Sheet'!C$66</f>
        <v>0.12080867850098619</v>
      </c>
      <c r="D15" s="380">
        <f>'Data Sheet'!D69/'Data Sheet'!D$66</f>
        <v>3.4623135832325673E-2</v>
      </c>
      <c r="E15" s="380">
        <f>'Data Sheet'!E69/'Data Sheet'!E$66</f>
        <v>3.2283168068281659E-2</v>
      </c>
      <c r="F15" s="380">
        <f>'Data Sheet'!F69/'Data Sheet'!F$66</f>
        <v>1.2898362577997405E-2</v>
      </c>
      <c r="G15" s="380">
        <f>'Data Sheet'!G69/'Data Sheet'!G$66</f>
        <v>0.11655958882107291</v>
      </c>
      <c r="H15" s="380">
        <f>'Data Sheet'!H69/'Data Sheet'!H$66</f>
        <v>4.2221889504416819E-2</v>
      </c>
      <c r="I15" s="380">
        <f>'Data Sheet'!I69/'Data Sheet'!I$66</f>
        <v>9.4086197633430728E-3</v>
      </c>
      <c r="J15" s="380">
        <f>'Data Sheet'!J69/'Data Sheet'!J$66</f>
        <v>0.11574664668507946</v>
      </c>
      <c r="K15" s="380">
        <f>'Data Sheet'!K69/'Data Sheet'!K$66</f>
        <v>0.10562514960504268</v>
      </c>
      <c r="L15" s="8"/>
      <c r="M15" s="297">
        <f t="shared" si="0"/>
        <v>6.2049035702906839E-2</v>
      </c>
      <c r="N15" s="297">
        <f t="shared" si="1"/>
        <v>9.4086197633430728E-3</v>
      </c>
      <c r="O15" s="297">
        <f t="shared" si="2"/>
        <v>0.12080867850098619</v>
      </c>
    </row>
    <row r="16" spans="1:15" x14ac:dyDescent="0.25">
      <c r="B16" s="952" t="str">
        <f>INSTRUCTIONS!A2</f>
        <v>http://www.investordiary.in/</v>
      </c>
      <c r="C16" s="952"/>
      <c r="D16" s="952"/>
      <c r="E16" s="952"/>
      <c r="F16" s="952"/>
    </row>
    <row r="17" spans="2:6" x14ac:dyDescent="0.25">
      <c r="B17" s="952"/>
      <c r="C17" s="952"/>
      <c r="D17" s="952"/>
      <c r="E17" s="952"/>
      <c r="F17" s="952"/>
    </row>
  </sheetData>
  <mergeCells count="2">
    <mergeCell ref="A1:K1"/>
    <mergeCell ref="B16:F17"/>
  </mergeCells>
  <conditionalFormatting sqref="C4:K4">
    <cfRule type="expression" dxfId="297" priority="9">
      <formula>C4&lt;B4</formula>
    </cfRule>
    <cfRule type="expression" dxfId="296" priority="10">
      <formula>C4&gt;B4</formula>
    </cfRule>
  </conditionalFormatting>
  <conditionalFormatting sqref="C5:K5">
    <cfRule type="expression" dxfId="295" priority="7">
      <formula>C5&lt;B5</formula>
    </cfRule>
    <cfRule type="expression" dxfId="294" priority="8">
      <formula>C5&gt;B5</formula>
    </cfRule>
  </conditionalFormatting>
  <conditionalFormatting sqref="C10:K10">
    <cfRule type="expression" dxfId="293" priority="5">
      <formula>C10&lt;B10</formula>
    </cfRule>
    <cfRule type="expression" dxfId="292" priority="6">
      <formula>C10&gt;B10</formula>
    </cfRule>
  </conditionalFormatting>
  <conditionalFormatting sqref="C13:K14">
    <cfRule type="expression" dxfId="291" priority="3">
      <formula>C13&lt;B13</formula>
    </cfRule>
    <cfRule type="expression" dxfId="290" priority="4">
      <formula>C13&gt;B13</formula>
    </cfRule>
  </conditionalFormatting>
  <conditionalFormatting sqref="C15:K15">
    <cfRule type="expression" dxfId="289" priority="1">
      <formula>C15&lt;B15</formula>
    </cfRule>
    <cfRule type="expression" dxfId="288" priority="2">
      <formula>C15&gt;B15</formula>
    </cfRule>
  </conditionalFormatting>
  <hyperlinks>
    <hyperlink ref="A3" location="'Balance sheet Flow chart'!B10" display="Equity Share Capital"/>
    <hyperlink ref="A4" location="'Balance sheet Flow chart'!D10" display="Reserves"/>
    <hyperlink ref="A5" location="'Balance sheet Flow chart'!F6" display="Borrowings"/>
    <hyperlink ref="A6" location="'Balance sheet Flow chart'!H10" display="Other Liabilities"/>
    <hyperlink ref="A8" location="'Balance sheet Flow chart'!J9" display="Net Block"/>
    <hyperlink ref="A9" location="'Balance sheet Flow chart'!J10" display="Capital Work in Progress"/>
    <hyperlink ref="A10" location="'Balance sheet Flow chart'!L10" display="Investments"/>
    <hyperlink ref="A15" location="'Balance sheet Flow chart'!L11" display="Cash &amp; Bank"/>
    <hyperlink ref="A11" location="'Balance sheet Flow chart'!N10" display="Other Assets"/>
    <hyperlink ref="A13" location="'Balance sheet Flow chart'!P10" display="Receivables"/>
    <hyperlink ref="A14" location="'Balance sheet Flow chart'!R9" display="Inventory"/>
    <hyperlink ref="B16:F17" r:id="rId1" display="https://investordiary.in/"/>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4"/>
  <sheetViews>
    <sheetView showGridLines="0" zoomScaleNormal="100" workbookViewId="0">
      <selection activeCell="B1" sqref="B1:G1"/>
    </sheetView>
  </sheetViews>
  <sheetFormatPr defaultRowHeight="15" x14ac:dyDescent="0.25"/>
  <cols>
    <col min="2" max="2" width="24.140625" customWidth="1"/>
    <col min="3" max="3" width="12" customWidth="1"/>
    <col min="4" max="4" width="11.42578125" customWidth="1"/>
    <col min="5" max="5" width="12.42578125" customWidth="1"/>
    <col min="6" max="6" width="12.85546875" customWidth="1"/>
    <col min="7" max="7" width="13" customWidth="1"/>
    <col min="8" max="8" width="10.140625" customWidth="1"/>
    <col min="9" max="9" width="10.42578125" customWidth="1"/>
    <col min="10" max="10" width="10.5703125" customWidth="1"/>
    <col min="11" max="12" width="11.5703125" bestFit="1" customWidth="1"/>
    <col min="13" max="13" width="5.28515625" customWidth="1"/>
    <col min="14" max="14" width="9" customWidth="1"/>
    <col min="15" max="15" width="8.42578125" customWidth="1"/>
    <col min="16" max="16" width="8.7109375" customWidth="1"/>
  </cols>
  <sheetData>
    <row r="1" spans="1:16" ht="21.75" thickBot="1" x14ac:dyDescent="0.4">
      <c r="A1" s="275"/>
      <c r="B1" s="965" t="str">
        <f>summary!B6</f>
        <v>AVANTI FEEDS LTD</v>
      </c>
      <c r="C1" s="966"/>
      <c r="D1" s="966"/>
      <c r="E1" s="966"/>
      <c r="F1" s="966"/>
      <c r="G1" s="967"/>
      <c r="H1" s="373" t="s">
        <v>341</v>
      </c>
      <c r="J1" s="964" t="str">
        <f>INSTRUCTIONS!A2</f>
        <v>http://www.investordiary.in/</v>
      </c>
      <c r="K1" s="964"/>
      <c r="L1" s="964"/>
      <c r="M1" s="964"/>
      <c r="N1" s="964"/>
    </row>
    <row r="2" spans="1:16" ht="21.75" thickBot="1" x14ac:dyDescent="0.4">
      <c r="B2" s="969" t="s">
        <v>212</v>
      </c>
      <c r="C2" s="970"/>
      <c r="D2" s="966"/>
      <c r="E2" s="966"/>
      <c r="F2" s="966"/>
      <c r="G2" s="967"/>
      <c r="H2" s="372" t="s">
        <v>342</v>
      </c>
      <c r="I2" s="178"/>
    </row>
    <row r="3" spans="1:16" x14ac:dyDescent="0.25">
      <c r="B3" s="956" t="s">
        <v>213</v>
      </c>
      <c r="C3" s="953"/>
      <c r="D3" s="325">
        <f>'Balance Sheet'!K8/('Balance Sheet'!K4+'Balance Sheet'!K5)</f>
        <v>1.3393009802804059</v>
      </c>
      <c r="E3" s="957" t="s">
        <v>310</v>
      </c>
      <c r="F3" s="958"/>
      <c r="G3" s="959"/>
      <c r="H3" s="100"/>
    </row>
    <row r="4" spans="1:16" x14ac:dyDescent="0.25">
      <c r="B4" s="956" t="s">
        <v>214</v>
      </c>
      <c r="C4" s="953"/>
      <c r="D4" s="262">
        <f>L14</f>
        <v>1.1184885443975836E-3</v>
      </c>
      <c r="E4" s="960" t="s">
        <v>215</v>
      </c>
      <c r="F4" s="961"/>
      <c r="G4" s="962"/>
      <c r="H4" s="100"/>
    </row>
    <row r="5" spans="1:16" ht="15.75" thickBot="1" x14ac:dyDescent="0.3">
      <c r="B5" s="978" t="s">
        <v>216</v>
      </c>
      <c r="C5" s="979"/>
      <c r="D5" s="516">
        <f>('Income statement'!L13+'Income statement'!L12)/'Income statement'!L12</f>
        <v>264.02162162162159</v>
      </c>
      <c r="E5" s="980" t="s">
        <v>217</v>
      </c>
      <c r="F5" s="981"/>
      <c r="G5" s="982"/>
      <c r="H5" s="100"/>
    </row>
    <row r="6" spans="1:16" s="174" customFormat="1" x14ac:dyDescent="0.25">
      <c r="B6" s="181"/>
      <c r="C6" s="181"/>
      <c r="D6" s="100"/>
      <c r="E6" s="182"/>
      <c r="F6" s="182"/>
      <c r="G6" s="182"/>
      <c r="H6" s="100"/>
    </row>
    <row r="7" spans="1:16" x14ac:dyDescent="0.25">
      <c r="B7" s="179"/>
      <c r="C7" s="180">
        <f>'Income statement CFA'!B2</f>
        <v>40633</v>
      </c>
      <c r="D7" s="180">
        <f>'Income statement CFA'!C2</f>
        <v>40999</v>
      </c>
      <c r="E7" s="180">
        <f>'Income statement CFA'!D2</f>
        <v>41364</v>
      </c>
      <c r="F7" s="180">
        <f>'Income statement CFA'!E2</f>
        <v>41729</v>
      </c>
      <c r="G7" s="180">
        <f>'Income statement CFA'!F2</f>
        <v>42094</v>
      </c>
      <c r="H7" s="180">
        <f>'Income statement CFA'!G2</f>
        <v>42460</v>
      </c>
      <c r="I7" s="180">
        <f>'Income statement CFA'!H2</f>
        <v>42825</v>
      </c>
      <c r="J7" s="180">
        <f>'Income statement CFA'!I2</f>
        <v>43190</v>
      </c>
      <c r="K7" s="180">
        <f>'Income statement CFA'!J2</f>
        <v>43555</v>
      </c>
      <c r="L7" s="180">
        <f>'Income statement CFA'!K2</f>
        <v>43921</v>
      </c>
      <c r="N7" s="177" t="s">
        <v>218</v>
      </c>
      <c r="O7" s="177" t="s">
        <v>219</v>
      </c>
      <c r="P7" s="177" t="s">
        <v>220</v>
      </c>
    </row>
    <row r="8" spans="1:16" x14ac:dyDescent="0.25">
      <c r="A8" s="955" t="s">
        <v>307</v>
      </c>
      <c r="B8" s="955"/>
      <c r="C8" s="273">
        <f>IF('Balance Sheet'!B18&gt;0,'Income statement'!B3/'Balance Sheet'!B18,0)</f>
        <v>5.2179257362355953</v>
      </c>
      <c r="D8" s="273">
        <f>IF('Balance Sheet'!C18&gt;0,'Income statement'!C3/'Balance Sheet'!C18,0)</f>
        <v>9.0827995255041518</v>
      </c>
      <c r="E8" s="273">
        <f>IF('Balance Sheet'!D18&gt;0,'Income statement'!D3/'Balance Sheet'!D18,0)</f>
        <v>6.4463771099217793</v>
      </c>
      <c r="F8" s="273">
        <f>IF('Balance Sheet'!E18&gt;0,'Income statement'!E3/'Balance Sheet'!E18,0)</f>
        <v>5.4896811448656786</v>
      </c>
      <c r="G8" s="273">
        <f>IF('Balance Sheet'!F18&gt;0,'Income statement'!F3/'Balance Sheet'!F18,0)</f>
        <v>7.6959282947482208</v>
      </c>
      <c r="H8" s="273">
        <f>IF('Balance Sheet'!G18&gt;0,'Income statement'!G3/'Balance Sheet'!G18,0)</f>
        <v>6.7775170723165816</v>
      </c>
      <c r="I8" s="273">
        <f>IF('Balance Sheet'!H18&gt;0,'Income statement'!H3/'Balance Sheet'!H18,0)</f>
        <v>7.3537812763564796</v>
      </c>
      <c r="J8" s="273">
        <f>IF('Balance Sheet'!I18&gt;0,'Income statement'!I3/'Balance Sheet'!I18,0)</f>
        <v>6.4650063832625149</v>
      </c>
      <c r="K8" s="273">
        <f>IF('Balance Sheet'!J18&gt;0,'Income statement'!J3/'Balance Sheet'!J18,0)</f>
        <v>9.2011291088482032</v>
      </c>
      <c r="L8" s="273">
        <f>IF('Balance Sheet'!K18&gt;0,'Income statement'!K3/'Balance Sheet'!K18,0)</f>
        <v>7.5716914132214681</v>
      </c>
      <c r="M8" s="272"/>
      <c r="N8" s="184">
        <f t="shared" ref="N8:N15" si="0">AVERAGE(C8:L8)</f>
        <v>7.1301837065280678</v>
      </c>
      <c r="O8" s="184">
        <f t="shared" ref="O8:O15" si="1">MIN(C8:L8)</f>
        <v>5.2179257362355953</v>
      </c>
      <c r="P8" s="184">
        <f t="shared" ref="P8:P15" si="2">MAX(C8:L8)</f>
        <v>9.2011291088482032</v>
      </c>
    </row>
    <row r="9" spans="1:16" x14ac:dyDescent="0.25">
      <c r="A9" s="974" t="s">
        <v>221</v>
      </c>
      <c r="B9" s="975"/>
      <c r="C9" s="381">
        <f>('Data Sheet'!B68/'Data Sheet'!B17)*365</f>
        <v>69.951168040832343</v>
      </c>
      <c r="D9" s="381">
        <f>('Data Sheet'!C68/'Data Sheet'!C17)*365</f>
        <v>40.185847873785391</v>
      </c>
      <c r="E9" s="381">
        <f>('Data Sheet'!D68/'Data Sheet'!D17)*365</f>
        <v>56.620950617086834</v>
      </c>
      <c r="F9" s="381">
        <f>('Data Sheet'!E68/'Data Sheet'!E17)*365</f>
        <v>66.488378899997258</v>
      </c>
      <c r="G9" s="381">
        <f>('Data Sheet'!F68/'Data Sheet'!F17)*365</f>
        <v>47.427676820881985</v>
      </c>
      <c r="H9" s="381">
        <f>('Data Sheet'!G68/'Data Sheet'!G17)*365</f>
        <v>53.854530516917102</v>
      </c>
      <c r="I9" s="381">
        <f>('Data Sheet'!H68/'Data Sheet'!H17)*365</f>
        <v>49.634329099987006</v>
      </c>
      <c r="J9" s="381">
        <f>('Data Sheet'!I68/'Data Sheet'!I17)*365</f>
        <v>56.457794217336193</v>
      </c>
      <c r="K9" s="381">
        <f>('Data Sheet'!J68/'Data Sheet'!J17)*365</f>
        <v>39.669044492485192</v>
      </c>
      <c r="L9" s="381">
        <f>('Data Sheet'!K68/'Data Sheet'!K17)*365</f>
        <v>48.205873705133783</v>
      </c>
      <c r="M9" s="185"/>
      <c r="N9" s="326">
        <f t="shared" si="0"/>
        <v>52.849559428444309</v>
      </c>
      <c r="O9" s="326">
        <f t="shared" si="1"/>
        <v>39.669044492485192</v>
      </c>
      <c r="P9" s="326">
        <f t="shared" si="2"/>
        <v>69.951168040832343</v>
      </c>
    </row>
    <row r="10" spans="1:16" x14ac:dyDescent="0.25">
      <c r="A10" s="974" t="s">
        <v>222</v>
      </c>
      <c r="B10" s="975"/>
      <c r="C10" s="381">
        <f>('Data Sheet'!B67/'Data Sheet'!B17)*365</f>
        <v>40.860080486847266</v>
      </c>
      <c r="D10" s="381">
        <f>('Data Sheet'!C67/'Data Sheet'!C17)*365</f>
        <v>14.787247936474767</v>
      </c>
      <c r="E10" s="381">
        <f>('Data Sheet'!D67/'Data Sheet'!D17)*365</f>
        <v>23.153050308942568</v>
      </c>
      <c r="F10" s="381">
        <f>('Data Sheet'!E67/'Data Sheet'!E17)*365</f>
        <v>15.030413347114621</v>
      </c>
      <c r="G10" s="381">
        <f>('Data Sheet'!F67/'Data Sheet'!F17)*365</f>
        <v>7.1690515904368945</v>
      </c>
      <c r="H10" s="381">
        <f>('Data Sheet'!G67/'Data Sheet'!G17)*365</f>
        <v>6.5953175702209457</v>
      </c>
      <c r="I10" s="381">
        <f>('Data Sheet'!H67/'Data Sheet'!H17)*365</f>
        <v>3.2666281817000167</v>
      </c>
      <c r="J10" s="381">
        <f>('Data Sheet'!I67/'Data Sheet'!I17)*365</f>
        <v>5.3821067523357602</v>
      </c>
      <c r="K10" s="381">
        <f>('Data Sheet'!J67/'Data Sheet'!J17)*365</f>
        <v>5.0902293149223858</v>
      </c>
      <c r="L10" s="381">
        <f>('Data Sheet'!K67/'Data Sheet'!K17)*365</f>
        <v>7.8733333495330822</v>
      </c>
      <c r="M10" s="185"/>
      <c r="N10" s="326">
        <f t="shared" si="0"/>
        <v>12.920745883852828</v>
      </c>
      <c r="O10" s="326">
        <f t="shared" si="1"/>
        <v>3.2666281817000167</v>
      </c>
      <c r="P10" s="326">
        <f t="shared" si="2"/>
        <v>40.860080486847266</v>
      </c>
    </row>
    <row r="11" spans="1:16" x14ac:dyDescent="0.25">
      <c r="A11" s="953" t="s">
        <v>312</v>
      </c>
      <c r="B11" s="953"/>
      <c r="C11" s="326">
        <f>'Income statement'!B3/'Balance Sheet'!B10</f>
        <v>7.6086631814787147</v>
      </c>
      <c r="D11" s="273">
        <f>'Income statement'!C3/'Balance Sheet'!C10</f>
        <v>8.8846600139243428</v>
      </c>
      <c r="E11" s="273">
        <f>'Income statement'!D3/'Balance Sheet'!D10</f>
        <v>12.317207472959685</v>
      </c>
      <c r="F11" s="273">
        <f>'Income statement'!E3/'Balance Sheet'!E10</f>
        <v>14.104889691652689</v>
      </c>
      <c r="G11" s="273">
        <f>'Income statement'!F3/'Balance Sheet'!F10</f>
        <v>19.076141565256226</v>
      </c>
      <c r="H11" s="273">
        <f>'Income statement'!G3/'Balance Sheet'!G10</f>
        <v>18.610635638042119</v>
      </c>
      <c r="I11" s="273">
        <f>'Income statement'!H3/'Balance Sheet'!H10</f>
        <v>16.300492303857418</v>
      </c>
      <c r="J11" s="273">
        <f>'Income statement'!I3/'Balance Sheet'!I10</f>
        <v>10.869802011917731</v>
      </c>
      <c r="K11" s="273">
        <f>'Income statement'!J3/'Balance Sheet'!J10</f>
        <v>11.922811335589515</v>
      </c>
      <c r="L11" s="273">
        <f>'Income statement'!K3/'Balance Sheet'!K10</f>
        <v>15.192860043563332</v>
      </c>
      <c r="M11" s="185"/>
      <c r="N11" s="326">
        <f t="shared" si="0"/>
        <v>13.488816325824178</v>
      </c>
      <c r="O11" s="326">
        <f t="shared" si="1"/>
        <v>7.6086631814787147</v>
      </c>
      <c r="P11" s="326">
        <f t="shared" si="2"/>
        <v>19.076141565256226</v>
      </c>
    </row>
    <row r="12" spans="1:16" x14ac:dyDescent="0.25">
      <c r="A12" s="976" t="s">
        <v>223</v>
      </c>
      <c r="B12" s="977"/>
      <c r="C12" s="273">
        <f>'Balance Sheet'!B8/('Balance Sheet'!B8-'Balance Sheet'!B4-'Balance Sheet'!B5)</f>
        <v>1.8593325092707049</v>
      </c>
      <c r="D12" s="273">
        <f>'Balance Sheet'!C8/('Balance Sheet'!C8-'Balance Sheet'!C4-'Balance Sheet'!C5)</f>
        <v>2.0528624451692723</v>
      </c>
      <c r="E12" s="273">
        <f>'Balance Sheet'!D8/('Balance Sheet'!D8-'Balance Sheet'!D4-'Balance Sheet'!D5)</f>
        <v>2.0170731707317073</v>
      </c>
      <c r="F12" s="273">
        <f>'Balance Sheet'!E8/('Balance Sheet'!E8-'Balance Sheet'!E4-'Balance Sheet'!E5)</f>
        <v>1.8207788646128529</v>
      </c>
      <c r="G12" s="273">
        <f>'Balance Sheet'!F8/('Balance Sheet'!F8-'Balance Sheet'!F4-'Balance Sheet'!F5)</f>
        <v>2.249658486033256</v>
      </c>
      <c r="H12" s="273">
        <f>'Balance Sheet'!G8/('Balance Sheet'!G8-'Balance Sheet'!G4-'Balance Sheet'!G5)</f>
        <v>3.1159601621540465</v>
      </c>
      <c r="I12" s="273">
        <f>'Balance Sheet'!H8/('Balance Sheet'!H8-'Balance Sheet'!H4-'Balance Sheet'!H5)</f>
        <v>2.4667374544111533</v>
      </c>
      <c r="J12" s="273">
        <f>'Balance Sheet'!I8/('Balance Sheet'!I8-'Balance Sheet'!I4-'Balance Sheet'!I5)</f>
        <v>3.0847245240308818</v>
      </c>
      <c r="K12" s="273">
        <f>'Balance Sheet'!J8/('Balance Sheet'!J8-'Balance Sheet'!J4-'Balance Sheet'!J5)</f>
        <v>3.9495670889791112</v>
      </c>
      <c r="L12" s="273">
        <f>'Balance Sheet'!K8/('Balance Sheet'!K8-'Balance Sheet'!K4-'Balance Sheet'!K5)</f>
        <v>3.9472358116194579</v>
      </c>
      <c r="M12" s="185"/>
      <c r="N12" s="326">
        <f t="shared" si="0"/>
        <v>2.6563930517012446</v>
      </c>
      <c r="O12" s="326">
        <f t="shared" si="1"/>
        <v>1.8207788646128529</v>
      </c>
      <c r="P12" s="326">
        <f t="shared" si="2"/>
        <v>3.9495670889791112</v>
      </c>
    </row>
    <row r="13" spans="1:16" x14ac:dyDescent="0.25">
      <c r="A13" s="976" t="s">
        <v>224</v>
      </c>
      <c r="B13" s="977"/>
      <c r="C13" s="273">
        <f>'Balance Sheet'!B6/'Balance Sheet'!B8</f>
        <v>0.36205291849488103</v>
      </c>
      <c r="D13" s="381">
        <f>'Balance Sheet'!C6/'Balance Sheet'!C8</f>
        <v>0.27158667543282927</v>
      </c>
      <c r="E13" s="381">
        <f>'Balance Sheet'!D6/'Balance Sheet'!D8</f>
        <v>0.24619105199516325</v>
      </c>
      <c r="F13" s="381">
        <f>'Balance Sheet'!E6/'Balance Sheet'!E8</f>
        <v>0.1408811346805573</v>
      </c>
      <c r="G13" s="381">
        <f>'Balance Sheet'!F6/'Balance Sheet'!F8</f>
        <v>0.12228317768750785</v>
      </c>
      <c r="H13" s="381">
        <f>'Balance Sheet'!G6/'Balance Sheet'!G8</f>
        <v>1.7202055894635401E-2</v>
      </c>
      <c r="I13" s="381">
        <f>'Balance Sheet'!H6/'Balance Sheet'!H8</f>
        <v>1.8022907620901332E-2</v>
      </c>
      <c r="J13" s="381">
        <f>'Balance Sheet'!I6/'Balance Sheet'!I8</f>
        <v>4.5011990093431001E-3</v>
      </c>
      <c r="K13" s="381">
        <f>'Balance Sheet'!J6/'Balance Sheet'!J8</f>
        <v>5.7839263818877645E-3</v>
      </c>
      <c r="L13" s="381">
        <f>'Balance Sheet'!K6/'Balance Sheet'!K8</f>
        <v>8.3512859384558098E-4</v>
      </c>
      <c r="M13" s="185"/>
      <c r="N13" s="326">
        <f t="shared" si="0"/>
        <v>0.11893401757915514</v>
      </c>
      <c r="O13" s="326">
        <f t="shared" si="1"/>
        <v>8.3512859384558098E-4</v>
      </c>
      <c r="P13" s="326">
        <f t="shared" si="2"/>
        <v>0.36205291849488103</v>
      </c>
    </row>
    <row r="14" spans="1:16" x14ac:dyDescent="0.25">
      <c r="A14" s="963" t="s">
        <v>225</v>
      </c>
      <c r="B14" s="963"/>
      <c r="C14" s="273">
        <f>'Balance Sheet'!B6/('Balance Sheet'!B4+'Balance Sheet'!B5)</f>
        <v>0.78337169159953957</v>
      </c>
      <c r="D14" s="273">
        <f>'Balance Sheet'!C6/('Balance Sheet'!C4+'Balance Sheet'!C5)</f>
        <v>0.52953744258092084</v>
      </c>
      <c r="E14" s="273">
        <f>'Balance Sheet'!D6/('Balance Sheet'!D4+'Balance Sheet'!D5)</f>
        <v>0.48824940047961629</v>
      </c>
      <c r="F14" s="273">
        <f>'Balance Sheet'!E6/('Balance Sheet'!E4+'Balance Sheet'!E5)</f>
        <v>0.31252436375786596</v>
      </c>
      <c r="G14" s="273">
        <f>'Balance Sheet'!F6/('Balance Sheet'!F4+'Balance Sheet'!F5)</f>
        <v>0.22013645444607791</v>
      </c>
      <c r="H14" s="273">
        <f>'Balance Sheet'!G6/('Balance Sheet'!G4+'Balance Sheet'!G5)</f>
        <v>2.5331724969843188E-2</v>
      </c>
      <c r="I14" s="273">
        <f>'Balance Sheet'!H6/('Balance Sheet'!H4+'Balance Sheet'!H5)</f>
        <v>3.0310660665386673E-2</v>
      </c>
      <c r="J14" s="273">
        <f>'Balance Sheet'!I6/('Balance Sheet'!I4+'Balance Sheet'!I5)</f>
        <v>6.6603327257920659E-3</v>
      </c>
      <c r="K14" s="273">
        <f>'Balance Sheet'!J6/('Balance Sheet'!J4+'Balance Sheet'!J5)</f>
        <v>7.7448671597731278E-3</v>
      </c>
      <c r="L14" s="273">
        <f>'Balance Sheet'!K6/('Balance Sheet'!K4+'Balance Sheet'!K5)</f>
        <v>1.1184885443975836E-3</v>
      </c>
      <c r="N14" s="326">
        <f t="shared" si="0"/>
        <v>0.24049854269292129</v>
      </c>
      <c r="O14" s="326">
        <f t="shared" si="1"/>
        <v>1.1184885443975836E-3</v>
      </c>
      <c r="P14" s="326">
        <f t="shared" si="2"/>
        <v>0.78337169159953957</v>
      </c>
    </row>
    <row r="15" spans="1:16" x14ac:dyDescent="0.25">
      <c r="A15" s="963" t="s">
        <v>226</v>
      </c>
      <c r="B15" s="963"/>
      <c r="C15" s="273">
        <f>('Income statement'!B13+'Income statement'!B12)/'Income statement'!B12</f>
        <v>2.1500000000000004</v>
      </c>
      <c r="D15" s="273">
        <f>('Income statement'!C13+'Income statement'!C12)/'Income statement'!C12</f>
        <v>10.830466830466829</v>
      </c>
      <c r="E15" s="273">
        <f>('Income statement'!D13+'Income statement'!D12)/'Income statement'!D12</f>
        <v>12.260204081632654</v>
      </c>
      <c r="F15" s="273">
        <f>('Income statement'!E13+'Income statement'!E12)/'Income statement'!E12</f>
        <v>24.956719817767656</v>
      </c>
      <c r="G15" s="273">
        <f>('Income statement'!F13+'Income statement'!F12)/'Income statement'!F12</f>
        <v>68.355805243445687</v>
      </c>
      <c r="H15" s="273">
        <f>('Income statement'!G13+'Income statement'!G12)/'Income statement'!G12</f>
        <v>71.467455621301781</v>
      </c>
      <c r="I15" s="273">
        <f>('Income statement'!H13+'Income statement'!H12)/'Income statement'!H12</f>
        <v>66.5136186770428</v>
      </c>
      <c r="J15" s="273">
        <f>('Income statement'!I13+'Income statement'!I12)/'Income statement'!I12</f>
        <v>148.07724425887264</v>
      </c>
      <c r="K15" s="273">
        <f>('Income statement'!J13+'Income statement'!J12)/'Income statement'!J12</f>
        <v>88.17922606924644</v>
      </c>
      <c r="L15" s="273">
        <f>('Income statement'!K13+'Income statement'!K12)/'Income statement'!K12</f>
        <v>111.69863013698631</v>
      </c>
      <c r="N15" s="517">
        <f t="shared" si="0"/>
        <v>60.448937073676277</v>
      </c>
      <c r="O15" s="517">
        <f t="shared" si="1"/>
        <v>2.1500000000000004</v>
      </c>
      <c r="P15" s="517">
        <f t="shared" si="2"/>
        <v>148.07724425887264</v>
      </c>
    </row>
    <row r="16" spans="1:16" x14ac:dyDescent="0.25">
      <c r="A16" s="971" t="s">
        <v>227</v>
      </c>
      <c r="B16" s="971"/>
      <c r="C16" s="255"/>
      <c r="D16" s="314">
        <f>IF('Cash Flow'!C11&gt;0,'Cash Flow'!C4/'Cash Flow'!C11,"")</f>
        <v>4.6390423572743993</v>
      </c>
      <c r="E16" s="314">
        <f>IF('Cash Flow'!D11&gt;0,'Cash Flow'!D4/'Cash Flow'!D11,"")</f>
        <v>-1.6232227488151658</v>
      </c>
      <c r="F16" s="314">
        <f>IF('Cash Flow'!E11&gt;0,'Cash Flow'!E4/'Cash Flow'!E11,"")</f>
        <v>1.5686053077357425</v>
      </c>
      <c r="G16" s="314">
        <f>IF('Cash Flow'!F11&gt;0,'Cash Flow'!F4/'Cash Flow'!F11,"")</f>
        <v>5.5663551401869205</v>
      </c>
      <c r="H16" s="314">
        <f>IF('Cash Flow'!G11&gt;0,'Cash Flow'!G4/'Cash Flow'!G11,"")</f>
        <v>1.8409536743624568</v>
      </c>
      <c r="I16" s="314">
        <f>IF('Cash Flow'!H11&gt;0,'Cash Flow'!H4/'Cash Flow'!H11,"")</f>
        <v>2.2651280378404826</v>
      </c>
      <c r="J16" s="314">
        <f>IF('Cash Flow'!I11&gt;0,'Cash Flow'!I4/'Cash Flow'!I11,"")</f>
        <v>3.3712948517940706</v>
      </c>
      <c r="K16" s="314">
        <f>IF('Cash Flow'!J11&gt;0,'Cash Flow'!J4/'Cash Flow'!J11,"")</f>
        <v>7.896862913622706</v>
      </c>
      <c r="L16" s="314">
        <f>IF('Cash Flow'!K11&gt;0,'Cash Flow'!K4/'Cash Flow'!K11,"")</f>
        <v>3.7986638323716946</v>
      </c>
      <c r="N16" s="518">
        <f>AVERAGE(D16:L16)</f>
        <v>3.2581870407081457</v>
      </c>
      <c r="O16" s="518">
        <f>MIN(D16:L16)</f>
        <v>-1.6232227488151658</v>
      </c>
      <c r="P16" s="518">
        <f>MAX(D16:L16)</f>
        <v>7.896862913622706</v>
      </c>
    </row>
    <row r="17" spans="1:16" x14ac:dyDescent="0.25">
      <c r="A17" s="972" t="s">
        <v>228</v>
      </c>
      <c r="B17" s="973"/>
      <c r="C17" s="382">
        <f>'Income statement'!B9/'Cash Flow'!B4</f>
        <v>-0.37564766839378239</v>
      </c>
      <c r="D17" s="382">
        <f>'Income statement'!C9/'Cash Flow'!C4</f>
        <v>7.9396585946804279E-2</v>
      </c>
      <c r="E17" s="382">
        <f>'Income statement'!D9/'Cash Flow'!D4</f>
        <v>-0.24233576642335769</v>
      </c>
      <c r="F17" s="382">
        <f>'Income statement'!E9/'Cash Flow'!E4</f>
        <v>9.9712023038156947E-2</v>
      </c>
      <c r="G17" s="382">
        <f>'Income statement'!F9/'Cash Flow'!F4</f>
        <v>9.8500111931945383E-2</v>
      </c>
      <c r="H17" s="382">
        <f>'Income statement'!G9/'Cash Flow'!G4</f>
        <v>8.3852459016393446E-2</v>
      </c>
      <c r="I17" s="382">
        <f>'Income statement'!H9/'Cash Flow'!H4</f>
        <v>4.9288928892889286E-2</v>
      </c>
      <c r="J17" s="382">
        <f>'Income statement'!I9/'Cash Flow'!I4</f>
        <v>8.457622895383192E-2</v>
      </c>
      <c r="K17" s="382">
        <f>'Income statement'!J9/'Cash Flow'!J4</f>
        <v>0.19503700478885505</v>
      </c>
      <c r="L17" s="382">
        <f>'Income statement'!K9/'Cash Flow'!K4</f>
        <v>0.30146294667839157</v>
      </c>
      <c r="M17" s="327"/>
      <c r="N17" s="519">
        <f>AVERAGE(C17:L17)</f>
        <v>3.7384285443012782E-2</v>
      </c>
      <c r="O17" s="519">
        <f>MIN(C17:L17)</f>
        <v>-0.37564766839378239</v>
      </c>
      <c r="P17" s="519">
        <f>MAX(C17:L17)</f>
        <v>0.30146294667839157</v>
      </c>
    </row>
    <row r="18" spans="1:16" x14ac:dyDescent="0.25">
      <c r="A18" s="972" t="s">
        <v>229</v>
      </c>
      <c r="B18" s="973"/>
      <c r="C18" s="273"/>
      <c r="D18" s="273">
        <f>'Cash Flow'!C11/'Income statement'!C9</f>
        <v>2.7150000000000016</v>
      </c>
      <c r="E18" s="273">
        <f>'Cash Flow'!D11/'Income statement'!D9</f>
        <v>2.5421686746987948</v>
      </c>
      <c r="F18" s="273">
        <f>'Cash Flow'!E11/'Income statement'!E9</f>
        <v>6.3935018050541519</v>
      </c>
      <c r="G18" s="273">
        <f>'Cash Flow'!F11/'Income statement'!F9</f>
        <v>1.8238636363636347</v>
      </c>
      <c r="H18" s="273">
        <f>'Cash Flow'!G11/'Income statement'!G9</f>
        <v>6.4780058651026389</v>
      </c>
      <c r="I18" s="273">
        <f>'Cash Flow'!H11/'Income statement'!H9</f>
        <v>8.9569028487947406</v>
      </c>
      <c r="J18" s="273">
        <f>'Cash Flow'!I11/'Income statement'!I9</f>
        <v>3.5071548821548832</v>
      </c>
      <c r="K18" s="273">
        <f>'Cash Flow'!J11/'Income statement'!J9</f>
        <v>0.64927455357142716</v>
      </c>
      <c r="L18" s="273">
        <f>'Cash Flow'!K11/'Income statement'!K9</f>
        <v>0.87324317157252795</v>
      </c>
      <c r="N18" s="326">
        <f>AVERAGE(C18:L18)</f>
        <v>3.7710128263680889</v>
      </c>
      <c r="O18" s="326">
        <f>MIN(C18:L18)</f>
        <v>0.64927455357142716</v>
      </c>
      <c r="P18" s="326">
        <f>MAX(C18:L18)</f>
        <v>8.9569028487947406</v>
      </c>
    </row>
    <row r="19" spans="1:16" x14ac:dyDescent="0.25">
      <c r="A19" s="963" t="s">
        <v>230</v>
      </c>
      <c r="B19" s="963"/>
      <c r="C19" s="383">
        <f>'Balance Sheet'!B6/'Cash Flow'!B4</f>
        <v>-7.0544041450777204</v>
      </c>
      <c r="D19" s="383">
        <f>'Balance Sheet'!C6/'Cash Flow'!C4</f>
        <v>0.98392219134577208</v>
      </c>
      <c r="E19" s="383">
        <f>'Balance Sheet'!D6/'Cash Flow'!D4</f>
        <v>-2.9722627737226275</v>
      </c>
      <c r="F19" s="383">
        <f>'Balance Sheet'!E6/'Cash Flow'!E4</f>
        <v>1.0100791936645068</v>
      </c>
      <c r="G19" s="383">
        <f>'Balance Sheet'!F6/'Cash Flow'!F4</f>
        <v>0.65368256100291022</v>
      </c>
      <c r="H19" s="383">
        <f>'Balance Sheet'!G6/'Cash Flow'!G4</f>
        <v>8.7786885245901641E-2</v>
      </c>
      <c r="I19" s="383">
        <f>'Balance Sheet'!H6/'Cash Flow'!H4</f>
        <v>6.9342934293429345E-2</v>
      </c>
      <c r="J19" s="383">
        <f>'Balance Sheet'!I6/'Cash Flow'!I4</f>
        <v>2.4454490442458975E-2</v>
      </c>
      <c r="K19" s="383">
        <f>'Balance Sheet'!J6/'Cash Flow'!J4</f>
        <v>5.0827165868524163E-2</v>
      </c>
      <c r="L19" s="383">
        <f>'Balance Sheet'!K6/'Cash Flow'!K4</f>
        <v>1.2550963306419378E-2</v>
      </c>
      <c r="M19" s="185"/>
      <c r="N19" s="326">
        <f>AVERAGE(C19:L19)</f>
        <v>-0.71340205336304263</v>
      </c>
      <c r="O19" s="326">
        <f>MIN(C19:L19)</f>
        <v>-7.0544041450777204</v>
      </c>
      <c r="P19" s="326">
        <f>MAX(C19:L19)</f>
        <v>1.0100791936645068</v>
      </c>
    </row>
    <row r="20" spans="1:16" x14ac:dyDescent="0.25">
      <c r="A20" s="963" t="s">
        <v>434</v>
      </c>
      <c r="B20" s="963"/>
      <c r="C20" s="330"/>
      <c r="D20" s="383">
        <f>'Balance Sheet'!C6/'Cash Flow'!C12</f>
        <v>1.2543016194331986</v>
      </c>
      <c r="E20" s="383">
        <f>'Balance Sheet'!D6/'Cash Flow'!D12</f>
        <v>-1.8392050587172537</v>
      </c>
      <c r="F20" s="383">
        <f>'Balance Sheet'!E6/'Cash Flow'!E12</f>
        <v>2.7864945382323731</v>
      </c>
      <c r="G20" s="383">
        <f>'Balance Sheet'!F6/'Cash Flow'!F12</f>
        <v>0.79683449310956445</v>
      </c>
      <c r="H20" s="383">
        <f>'Balance Sheet'!G6/'Cash Flow'!G12</f>
        <v>0.19217656558406604</v>
      </c>
      <c r="I20" s="383">
        <f>'Balance Sheet'!H6/'Cash Flow'!H12</f>
        <v>0.1241539354090118</v>
      </c>
      <c r="J20" s="383">
        <f>'Balance Sheet'!I6/'Cash Flow'!I12</f>
        <v>3.47672064777328E-2</v>
      </c>
      <c r="K20" s="383">
        <f>'Balance Sheet'!J6/'Cash Flow'!J12</f>
        <v>5.8196772384572236E-2</v>
      </c>
      <c r="L20" s="383">
        <f>'Balance Sheet'!K6/'Cash Flow'!K12</f>
        <v>1.7035590277777783E-2</v>
      </c>
      <c r="M20" s="185"/>
      <c r="N20" s="326">
        <f>AVERAGE(C20:L20)</f>
        <v>0.38052840691011591</v>
      </c>
      <c r="O20" s="326">
        <f>MIN(C20:L20)</f>
        <v>-1.8392050587172537</v>
      </c>
      <c r="P20" s="326">
        <f>MAX(C20:L20)</f>
        <v>2.7864945382323731</v>
      </c>
    </row>
    <row r="21" spans="1:16" x14ac:dyDescent="0.25">
      <c r="K21" s="968" t="s">
        <v>231</v>
      </c>
      <c r="L21" s="968"/>
    </row>
    <row r="22" spans="1:16" ht="15" customHeight="1" x14ac:dyDescent="0.25">
      <c r="A22" s="954" t="s">
        <v>413</v>
      </c>
      <c r="B22" s="954"/>
      <c r="C22" s="954"/>
      <c r="D22" s="954"/>
      <c r="E22" s="534"/>
      <c r="F22" s="534"/>
      <c r="G22" s="534"/>
    </row>
    <row r="23" spans="1:16" ht="15" customHeight="1" x14ac:dyDescent="0.25">
      <c r="A23" s="954"/>
      <c r="B23" s="954"/>
      <c r="C23" s="954"/>
      <c r="D23" s="954"/>
      <c r="E23" s="534"/>
      <c r="F23" s="534"/>
      <c r="G23" s="534"/>
    </row>
    <row r="24" spans="1:16" ht="15" customHeight="1" x14ac:dyDescent="0.25">
      <c r="A24" s="954"/>
      <c r="B24" s="954"/>
      <c r="C24" s="954"/>
      <c r="D24" s="954"/>
    </row>
  </sheetData>
  <mergeCells count="24">
    <mergeCell ref="J1:N1"/>
    <mergeCell ref="B1:G1"/>
    <mergeCell ref="K21:L21"/>
    <mergeCell ref="A19:B19"/>
    <mergeCell ref="A14:B14"/>
    <mergeCell ref="B2:G2"/>
    <mergeCell ref="A15:B15"/>
    <mergeCell ref="A16:B16"/>
    <mergeCell ref="A17:B17"/>
    <mergeCell ref="A18:B18"/>
    <mergeCell ref="A9:B9"/>
    <mergeCell ref="A10:B10"/>
    <mergeCell ref="A12:B12"/>
    <mergeCell ref="A13:B13"/>
    <mergeCell ref="B5:C5"/>
    <mergeCell ref="E5:G5"/>
    <mergeCell ref="A11:B11"/>
    <mergeCell ref="A22:D24"/>
    <mergeCell ref="A8:B8"/>
    <mergeCell ref="B3:C3"/>
    <mergeCell ref="E3:G3"/>
    <mergeCell ref="B4:C4"/>
    <mergeCell ref="E4:G4"/>
    <mergeCell ref="A20:B20"/>
  </mergeCells>
  <conditionalFormatting sqref="D3">
    <cfRule type="expression" dxfId="287" priority="15">
      <formula>$D$3&lt;0</formula>
    </cfRule>
    <cfRule type="expression" dxfId="286" priority="83">
      <formula>D3&lt;4</formula>
    </cfRule>
    <cfRule type="expression" dxfId="285" priority="84">
      <formula>D3&gt;=4</formula>
    </cfRule>
  </conditionalFormatting>
  <conditionalFormatting sqref="D4">
    <cfRule type="expression" dxfId="284" priority="14">
      <formula>$D$4&lt;0</formula>
    </cfRule>
    <cfRule type="expression" dxfId="283" priority="81">
      <formula>D4&lt;1</formula>
    </cfRule>
    <cfRule type="expression" dxfId="282" priority="82">
      <formula>D4&gt;=1</formula>
    </cfRule>
  </conditionalFormatting>
  <conditionalFormatting sqref="D10">
    <cfRule type="expression" dxfId="281" priority="67">
      <formula>D10&lt;C10</formula>
    </cfRule>
    <cfRule type="expression" dxfId="280" priority="68">
      <formula>D10&gt;C10</formula>
    </cfRule>
  </conditionalFormatting>
  <conditionalFormatting sqref="E10:L10">
    <cfRule type="expression" dxfId="279" priority="65">
      <formula>E10&lt;D10</formula>
    </cfRule>
    <cfRule type="expression" dxfId="278" priority="66">
      <formula>E10&gt;D10</formula>
    </cfRule>
  </conditionalFormatting>
  <conditionalFormatting sqref="D12:L12">
    <cfRule type="expression" dxfId="277" priority="61">
      <formula>D12&lt;C12</formula>
    </cfRule>
    <cfRule type="expression" dxfId="276" priority="62">
      <formula>D12&gt;C12</formula>
    </cfRule>
  </conditionalFormatting>
  <conditionalFormatting sqref="D13:L13">
    <cfRule type="expression" dxfId="275" priority="59">
      <formula>D13&lt;C13</formula>
    </cfRule>
    <cfRule type="expression" dxfId="274" priority="60">
      <formula>D13&gt;C13</formula>
    </cfRule>
  </conditionalFormatting>
  <conditionalFormatting sqref="D18:L18">
    <cfRule type="expression" dxfId="273" priority="55">
      <formula>D18&gt;1</formula>
    </cfRule>
    <cfRule type="expression" dxfId="272" priority="56">
      <formula>D18&lt;=1</formula>
    </cfRule>
  </conditionalFormatting>
  <conditionalFormatting sqref="D5">
    <cfRule type="expression" dxfId="271" priority="26">
      <formula>$D$5&lt;10</formula>
    </cfRule>
    <cfRule type="expression" dxfId="270" priority="47">
      <formula>D5&lt;10%</formula>
    </cfRule>
    <cfRule type="expression" dxfId="269" priority="48">
      <formula>D5&gt;=10%</formula>
    </cfRule>
  </conditionalFormatting>
  <conditionalFormatting sqref="D8:L8">
    <cfRule type="expression" dxfId="268" priority="45">
      <formula>D8&lt;C8</formula>
    </cfRule>
    <cfRule type="expression" dxfId="267" priority="46">
      <formula>D8&gt;C8</formula>
    </cfRule>
  </conditionalFormatting>
  <conditionalFormatting sqref="D11:L11">
    <cfRule type="expression" dxfId="266" priority="43">
      <formula>D11&lt;C11</formula>
    </cfRule>
    <cfRule type="expression" dxfId="265" priority="44">
      <formula>D11&gt;C11</formula>
    </cfRule>
  </conditionalFormatting>
  <conditionalFormatting sqref="D15">
    <cfRule type="expression" dxfId="264" priority="41">
      <formula>D15&lt;10</formula>
    </cfRule>
    <cfRule type="expression" dxfId="263" priority="42">
      <formula>D15&gt;=10</formula>
    </cfRule>
  </conditionalFormatting>
  <conditionalFormatting sqref="C15">
    <cfRule type="expression" dxfId="262" priority="39">
      <formula>C15&lt;10</formula>
    </cfRule>
    <cfRule type="expression" dxfId="261" priority="40">
      <formula>C15&gt;=10</formula>
    </cfRule>
  </conditionalFormatting>
  <conditionalFormatting sqref="E15:L15">
    <cfRule type="expression" dxfId="260" priority="37">
      <formula>E15&lt;10</formula>
    </cfRule>
    <cfRule type="expression" dxfId="259" priority="38">
      <formula>E15&gt;=10</formula>
    </cfRule>
  </conditionalFormatting>
  <conditionalFormatting sqref="D9:L9">
    <cfRule type="expression" dxfId="258" priority="35">
      <formula>D9&lt;C9</formula>
    </cfRule>
    <cfRule type="expression" dxfId="257" priority="36">
      <formula>D9&gt;C9</formula>
    </cfRule>
  </conditionalFormatting>
  <conditionalFormatting sqref="D16">
    <cfRule type="expression" dxfId="256" priority="29">
      <formula>D16&lt;1</formula>
    </cfRule>
    <cfRule type="expression" dxfId="255" priority="30">
      <formula>D16&gt;1</formula>
    </cfRule>
  </conditionalFormatting>
  <conditionalFormatting sqref="E16:L16">
    <cfRule type="expression" dxfId="254" priority="27">
      <formula>E16&lt;1</formula>
    </cfRule>
    <cfRule type="expression" dxfId="253" priority="28">
      <formula>E16&gt;1</formula>
    </cfRule>
  </conditionalFormatting>
  <conditionalFormatting sqref="C19">
    <cfRule type="expression" dxfId="252" priority="11">
      <formula>C19&lt;0</formula>
    </cfRule>
    <cfRule type="expression" dxfId="251" priority="22">
      <formula>C19&gt;3</formula>
    </cfRule>
    <cfRule type="expression" dxfId="250" priority="23">
      <formula>C19&lt;=3</formula>
    </cfRule>
  </conditionalFormatting>
  <conditionalFormatting sqref="D19:L19">
    <cfRule type="expression" dxfId="249" priority="8">
      <formula>D19&lt;0</formula>
    </cfRule>
    <cfRule type="expression" dxfId="248" priority="9">
      <formula>D19&gt;3</formula>
    </cfRule>
    <cfRule type="expression" dxfId="247" priority="10">
      <formula>D19&lt;=3</formula>
    </cfRule>
  </conditionalFormatting>
  <conditionalFormatting sqref="D20:L20">
    <cfRule type="expression" dxfId="246" priority="5">
      <formula>D20&lt;0</formula>
    </cfRule>
    <cfRule type="expression" dxfId="245" priority="6">
      <formula>D20&gt;3</formula>
    </cfRule>
    <cfRule type="expression" dxfId="244" priority="7">
      <formula>D20&lt;=3</formula>
    </cfRule>
  </conditionalFormatting>
  <conditionalFormatting sqref="C14">
    <cfRule type="expression" dxfId="243" priority="3">
      <formula>C14&gt;1</formula>
    </cfRule>
    <cfRule type="expression" dxfId="242" priority="4">
      <formula>C14&lt;=1</formula>
    </cfRule>
  </conditionalFormatting>
  <conditionalFormatting sqref="D14:L14">
    <cfRule type="expression" dxfId="241" priority="1">
      <formula>D14&gt;1</formula>
    </cfRule>
    <cfRule type="expression" dxfId="240" priority="2">
      <formula>D14&lt;=1</formula>
    </cfRule>
  </conditionalFormatting>
  <hyperlinks>
    <hyperlink ref="A22:D24" r:id="rId1" display="click here for the explanation "/>
    <hyperlink ref="B3:C3" location="'Balance sheet Flow chart'!F7" display="FINANCIAL LEVERAGE="/>
    <hyperlink ref="B4:C4" location="'Balance sheet Flow chart'!F8" display="DEBT TO EQUITY RATIO="/>
    <hyperlink ref="B5:C5" location="'Balance sheet Flow chart'!F9" display="INTEREST COVERAGE RATIO="/>
    <hyperlink ref="A12:B12" location="'Balance sheet Flow chart'!F10" display="Total assets/Total liabilities="/>
    <hyperlink ref="A13:B13" location="'Balance sheet Flow chart'!F11" display="Total debt/Total assets="/>
    <hyperlink ref="A14:B14" location="'Balance sheet Flow chart'!F12" display="Total debt/Total equity="/>
    <hyperlink ref="A15:B15" location="'Balance sheet Flow chart'!F13" display="Interest coverage ratio="/>
    <hyperlink ref="A19:B19" location="'Balance sheet Flow chart'!F14" display="TOTAL DEBT / CASH FLOW ="/>
    <hyperlink ref="A20:B20" location="'Balance sheet Flow chart'!F15" display="TOTAL DEBT / FREE CASH FLOW ="/>
    <hyperlink ref="A11:B11" location="'Balance sheet Flow chart'!J11" display="FIXED ASSET TURNOVER"/>
    <hyperlink ref="A10:B10" location="'Balance sheet Flow chart'!P11" display="DAYS IN RECEIVABLES"/>
    <hyperlink ref="A8:B8" location="'Balance sheet Flow chart'!R10" display="INVENTORY TURNOVER"/>
    <hyperlink ref="A9:B9" location="'Balance sheet Flow chart'!R11" display="DAYS IN INVENTORY"/>
    <hyperlink ref="J1:N1" r:id="rId2" display="https://investordiary.in/"/>
  </hyperlinks>
  <pageMargins left="0.7" right="0.7" top="0.75" bottom="0.75" header="0.3" footer="0.3"/>
  <pageSetup orientation="landscape" r:id="rId3"/>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81"/>
  <sheetViews>
    <sheetView showGridLines="0" zoomScale="97" zoomScaleNormal="97" workbookViewId="0">
      <selection sqref="A1:L1"/>
    </sheetView>
  </sheetViews>
  <sheetFormatPr defaultRowHeight="15" x14ac:dyDescent="0.25"/>
  <cols>
    <col min="1" max="1" width="40.5703125" customWidth="1"/>
    <col min="2" max="11" width="7.7109375" bestFit="1" customWidth="1"/>
    <col min="14" max="14" width="40.5703125" customWidth="1"/>
    <col min="25" max="25" width="8.85546875" customWidth="1"/>
  </cols>
  <sheetData>
    <row r="1" spans="1:28" ht="19.5" customHeight="1" thickBot="1" x14ac:dyDescent="0.4">
      <c r="A1" s="989" t="s">
        <v>375</v>
      </c>
      <c r="B1" s="990"/>
      <c r="C1" s="990"/>
      <c r="D1" s="990"/>
      <c r="E1" s="990"/>
      <c r="F1" s="990"/>
      <c r="G1" s="990"/>
      <c r="H1" s="990"/>
      <c r="I1" s="990"/>
      <c r="J1" s="990"/>
      <c r="K1" s="990"/>
      <c r="L1" s="991"/>
      <c r="M1" s="497" t="s">
        <v>341</v>
      </c>
      <c r="N1" s="986" t="s">
        <v>375</v>
      </c>
      <c r="O1" s="987"/>
      <c r="P1" s="987"/>
      <c r="Q1" s="987"/>
      <c r="R1" s="987"/>
      <c r="S1" s="987"/>
      <c r="T1" s="987"/>
      <c r="U1" s="987"/>
      <c r="V1" s="987"/>
      <c r="W1" s="987"/>
      <c r="X1" s="988"/>
    </row>
    <row r="2" spans="1:28" ht="19.5" customHeight="1" thickBot="1" x14ac:dyDescent="0.3">
      <c r="A2" s="468"/>
      <c r="B2" s="197">
        <f>'Balance Sheet'!B3</f>
        <v>40633</v>
      </c>
      <c r="C2" s="197">
        <f>'Balance Sheet'!C3</f>
        <v>40999</v>
      </c>
      <c r="D2" s="197">
        <f>'Balance Sheet'!D3</f>
        <v>41364</v>
      </c>
      <c r="E2" s="197">
        <f>'Balance Sheet'!E3</f>
        <v>41729</v>
      </c>
      <c r="F2" s="197">
        <f>'Balance Sheet'!F3</f>
        <v>42094</v>
      </c>
      <c r="G2" s="197">
        <f>'Balance Sheet'!G3</f>
        <v>42460</v>
      </c>
      <c r="H2" s="197">
        <f>'Balance Sheet'!H3</f>
        <v>42825</v>
      </c>
      <c r="I2" s="197">
        <f>'Balance Sheet'!I3</f>
        <v>43190</v>
      </c>
      <c r="J2" s="197">
        <f>'Balance Sheet'!J3</f>
        <v>43555</v>
      </c>
      <c r="K2" s="197">
        <f>'Balance Sheet'!K3</f>
        <v>43921</v>
      </c>
      <c r="L2" s="188" t="s">
        <v>3</v>
      </c>
      <c r="M2" s="498" t="s">
        <v>342</v>
      </c>
      <c r="N2" s="175"/>
      <c r="O2" s="467">
        <f t="shared" ref="O2:X2" si="0">B2</f>
        <v>40633</v>
      </c>
      <c r="P2" s="467">
        <f t="shared" si="0"/>
        <v>40999</v>
      </c>
      <c r="Q2" s="467">
        <f t="shared" si="0"/>
        <v>41364</v>
      </c>
      <c r="R2" s="467">
        <f t="shared" si="0"/>
        <v>41729</v>
      </c>
      <c r="S2" s="467">
        <f t="shared" si="0"/>
        <v>42094</v>
      </c>
      <c r="T2" s="467">
        <f t="shared" si="0"/>
        <v>42460</v>
      </c>
      <c r="U2" s="467">
        <f t="shared" si="0"/>
        <v>42825</v>
      </c>
      <c r="V2" s="467">
        <f t="shared" si="0"/>
        <v>43190</v>
      </c>
      <c r="W2" s="467">
        <f t="shared" si="0"/>
        <v>43555</v>
      </c>
      <c r="X2" s="476">
        <f t="shared" si="0"/>
        <v>43921</v>
      </c>
    </row>
    <row r="3" spans="1:28" ht="15.75" thickBot="1" x14ac:dyDescent="0.3">
      <c r="A3" s="502" t="s">
        <v>376</v>
      </c>
      <c r="B3" s="186">
        <f>'Data Sheet'!B17</f>
        <v>203.76</v>
      </c>
      <c r="C3" s="186">
        <f>'Data Sheet'!C17</f>
        <v>382.84</v>
      </c>
      <c r="D3" s="186">
        <f>'Data Sheet'!D17</f>
        <v>626.33000000000004</v>
      </c>
      <c r="E3" s="186">
        <f>'Data Sheet'!E17</f>
        <v>1093.27</v>
      </c>
      <c r="F3" s="186">
        <f>'Data Sheet'!F17</f>
        <v>1708.65</v>
      </c>
      <c r="G3" s="186">
        <f>'Data Sheet'!G17</f>
        <v>1935.32</v>
      </c>
      <c r="H3" s="186">
        <f>'Data Sheet'!H17</f>
        <v>2615.7399999999998</v>
      </c>
      <c r="I3" s="186">
        <f>'Data Sheet'!I17</f>
        <v>3392.9</v>
      </c>
      <c r="J3" s="186">
        <f>'Data Sheet'!J17</f>
        <v>3487.78</v>
      </c>
      <c r="K3" s="186">
        <f>'Data Sheet'!K17</f>
        <v>4115.29</v>
      </c>
      <c r="L3" s="470">
        <f>SUM(Quarters!H4:K4)</f>
        <v>3977.2000000000003</v>
      </c>
      <c r="N3" s="175"/>
      <c r="O3" s="486" t="s">
        <v>374</v>
      </c>
      <c r="P3" s="486" t="s">
        <v>374</v>
      </c>
      <c r="Q3" s="486" t="s">
        <v>374</v>
      </c>
      <c r="R3" s="486" t="s">
        <v>374</v>
      </c>
      <c r="S3" s="486" t="s">
        <v>374</v>
      </c>
      <c r="T3" s="486" t="s">
        <v>374</v>
      </c>
      <c r="U3" s="486" t="s">
        <v>374</v>
      </c>
      <c r="V3" s="486" t="s">
        <v>374</v>
      </c>
      <c r="W3" s="486" t="s">
        <v>374</v>
      </c>
      <c r="X3" s="499" t="s">
        <v>374</v>
      </c>
    </row>
    <row r="4" spans="1:28" x14ac:dyDescent="0.25">
      <c r="A4" s="504" t="s">
        <v>397</v>
      </c>
      <c r="B4" s="337"/>
      <c r="C4" s="515">
        <f>C3/B3-1</f>
        <v>0.87887711032587346</v>
      </c>
      <c r="D4" s="515">
        <f t="shared" ref="D4:K4" si="1">D3/C3-1</f>
        <v>0.63600982133528383</v>
      </c>
      <c r="E4" s="515">
        <f t="shared" si="1"/>
        <v>0.74551753867769377</v>
      </c>
      <c r="F4" s="515">
        <f t="shared" si="1"/>
        <v>0.56288016683893294</v>
      </c>
      <c r="G4" s="515">
        <f t="shared" si="1"/>
        <v>0.13266028736136715</v>
      </c>
      <c r="H4" s="515">
        <f t="shared" si="1"/>
        <v>0.35158010044850463</v>
      </c>
      <c r="I4" s="515">
        <f t="shared" si="1"/>
        <v>0.29710903988928572</v>
      </c>
      <c r="J4" s="515">
        <f t="shared" si="1"/>
        <v>2.7964278345957716E-2</v>
      </c>
      <c r="K4" s="515">
        <f t="shared" si="1"/>
        <v>0.17991673786764073</v>
      </c>
      <c r="L4" s="483"/>
      <c r="N4" s="646" t="s">
        <v>376</v>
      </c>
      <c r="O4" s="465">
        <v>1</v>
      </c>
      <c r="P4" s="465">
        <v>1</v>
      </c>
      <c r="Q4" s="465">
        <v>1</v>
      </c>
      <c r="R4" s="465">
        <v>1</v>
      </c>
      <c r="S4" s="466">
        <v>1</v>
      </c>
      <c r="T4" s="465">
        <v>1</v>
      </c>
      <c r="U4" s="465">
        <v>1</v>
      </c>
      <c r="V4" s="465">
        <v>1</v>
      </c>
      <c r="W4" s="465">
        <v>1</v>
      </c>
      <c r="X4" s="500">
        <v>1</v>
      </c>
      <c r="Z4" s="489" t="s">
        <v>218</v>
      </c>
      <c r="AA4" s="489" t="s">
        <v>219</v>
      </c>
      <c r="AB4" s="647" t="s">
        <v>220</v>
      </c>
    </row>
    <row r="5" spans="1:28" x14ac:dyDescent="0.25">
      <c r="A5" s="502" t="s">
        <v>377</v>
      </c>
      <c r="B5" s="478">
        <f t="shared" ref="B5:K5" si="2">B31+B32+B33+B35</f>
        <v>197.26000000000002</v>
      </c>
      <c r="C5" s="508">
        <f t="shared" si="2"/>
        <v>290.68</v>
      </c>
      <c r="D5" s="508">
        <f t="shared" si="2"/>
        <v>568.72</v>
      </c>
      <c r="E5" s="508">
        <f t="shared" si="2"/>
        <v>941.83999999999992</v>
      </c>
      <c r="F5" s="508">
        <f t="shared" si="2"/>
        <v>1461.4499999999998</v>
      </c>
      <c r="G5" s="508">
        <f t="shared" si="2"/>
        <v>1617.53</v>
      </c>
      <c r="H5" s="508">
        <f t="shared" si="2"/>
        <v>2209.7200000000003</v>
      </c>
      <c r="I5" s="508">
        <f t="shared" si="2"/>
        <v>2694.0699999999997</v>
      </c>
      <c r="J5" s="508">
        <f t="shared" si="2"/>
        <v>2911.07</v>
      </c>
      <c r="K5" s="508">
        <f t="shared" si="2"/>
        <v>3525.2599999999998</v>
      </c>
      <c r="L5" s="503"/>
      <c r="N5" s="469" t="s">
        <v>377</v>
      </c>
      <c r="O5" s="460">
        <f t="shared" ref="O5:X5" si="3">B5/B3</f>
        <v>0.96809972516686316</v>
      </c>
      <c r="P5" s="460">
        <f t="shared" si="3"/>
        <v>0.75927280325984747</v>
      </c>
      <c r="Q5" s="460">
        <f t="shared" si="3"/>
        <v>0.9080197340060352</v>
      </c>
      <c r="R5" s="460">
        <f t="shared" si="3"/>
        <v>0.86148892771227592</v>
      </c>
      <c r="S5" s="461">
        <f t="shared" si="3"/>
        <v>0.85532437889561919</v>
      </c>
      <c r="T5" s="460">
        <f t="shared" si="3"/>
        <v>0.83579459727590266</v>
      </c>
      <c r="U5" s="460">
        <f t="shared" si="3"/>
        <v>0.84477815073363582</v>
      </c>
      <c r="V5" s="460">
        <f t="shared" si="3"/>
        <v>0.79403165433699774</v>
      </c>
      <c r="W5" s="460">
        <f t="shared" si="3"/>
        <v>0.8346484009885945</v>
      </c>
      <c r="X5" s="501">
        <f t="shared" si="3"/>
        <v>0.85662492801236356</v>
      </c>
      <c r="Z5" s="490">
        <f t="shared" ref="Z5:Z16" si="4">AVERAGE(O5:X5)</f>
        <v>0.85180833003881351</v>
      </c>
      <c r="AA5" s="460">
        <f t="shared" ref="AA5:AA16" si="5">MIN(O5:X5)</f>
        <v>0.75927280325984747</v>
      </c>
      <c r="AB5" s="491">
        <f t="shared" ref="AB5:AB16" si="6">MAX(O5:X5)</f>
        <v>0.96809972516686316</v>
      </c>
    </row>
    <row r="6" spans="1:28" x14ac:dyDescent="0.25">
      <c r="A6" s="504" t="s">
        <v>378</v>
      </c>
      <c r="B6" s="487">
        <f t="shared" ref="B6:K6" si="7">B3-B5</f>
        <v>6.4999999999999716</v>
      </c>
      <c r="C6" s="478">
        <f t="shared" si="7"/>
        <v>92.159999999999968</v>
      </c>
      <c r="D6" s="478">
        <f t="shared" si="7"/>
        <v>57.610000000000014</v>
      </c>
      <c r="E6" s="478">
        <f t="shared" si="7"/>
        <v>151.43000000000006</v>
      </c>
      <c r="F6" s="478">
        <f t="shared" si="7"/>
        <v>247.20000000000027</v>
      </c>
      <c r="G6" s="478">
        <f t="shared" si="7"/>
        <v>317.78999999999996</v>
      </c>
      <c r="H6" s="478">
        <f t="shared" si="7"/>
        <v>406.01999999999953</v>
      </c>
      <c r="I6" s="478">
        <f t="shared" si="7"/>
        <v>698.83000000000038</v>
      </c>
      <c r="J6" s="478">
        <f t="shared" si="7"/>
        <v>576.71</v>
      </c>
      <c r="K6" s="478">
        <f t="shared" si="7"/>
        <v>590.0300000000002</v>
      </c>
      <c r="L6" s="505"/>
      <c r="N6" s="471" t="s">
        <v>406</v>
      </c>
      <c r="O6" s="460">
        <f t="shared" ref="O6:X6" si="8">B6/B3</f>
        <v>3.1900274833136885E-2</v>
      </c>
      <c r="P6" s="460">
        <f t="shared" si="8"/>
        <v>0.24072719674015247</v>
      </c>
      <c r="Q6" s="460">
        <f t="shared" si="8"/>
        <v>9.198026599396486E-2</v>
      </c>
      <c r="R6" s="460">
        <f t="shared" si="8"/>
        <v>0.13851107228772405</v>
      </c>
      <c r="S6" s="460">
        <f t="shared" si="8"/>
        <v>0.14467562110438081</v>
      </c>
      <c r="T6" s="460">
        <f t="shared" si="8"/>
        <v>0.16420540272409728</v>
      </c>
      <c r="U6" s="460">
        <f t="shared" si="8"/>
        <v>0.15522184926636423</v>
      </c>
      <c r="V6" s="460">
        <f t="shared" si="8"/>
        <v>0.20596834566300226</v>
      </c>
      <c r="W6" s="460">
        <f t="shared" si="8"/>
        <v>0.16535159901140553</v>
      </c>
      <c r="X6" s="491">
        <f t="shared" si="8"/>
        <v>0.14337507198763641</v>
      </c>
      <c r="Z6" s="490">
        <f t="shared" si="4"/>
        <v>0.14819166996118646</v>
      </c>
      <c r="AA6" s="460">
        <f t="shared" si="5"/>
        <v>3.1900274833136885E-2</v>
      </c>
      <c r="AB6" s="491">
        <f t="shared" si="6"/>
        <v>0.24072719674015247</v>
      </c>
    </row>
    <row r="7" spans="1:28" x14ac:dyDescent="0.25">
      <c r="A7" s="502" t="s">
        <v>379</v>
      </c>
      <c r="B7" s="488">
        <f>B34+B36+B39</f>
        <v>16.53</v>
      </c>
      <c r="C7" s="488">
        <f t="shared" ref="C7:K7" si="9">C34+C36+C39</f>
        <v>38.6</v>
      </c>
      <c r="D7" s="488">
        <f t="shared" si="9"/>
        <v>45.870000000000005</v>
      </c>
      <c r="E7" s="488">
        <f t="shared" si="9"/>
        <v>65.27000000000001</v>
      </c>
      <c r="F7" s="488">
        <f t="shared" si="9"/>
        <v>94.91</v>
      </c>
      <c r="G7" s="488">
        <f t="shared" si="9"/>
        <v>115.61</v>
      </c>
      <c r="H7" s="488">
        <f t="shared" si="9"/>
        <v>132.56</v>
      </c>
      <c r="I7" s="488">
        <f t="shared" si="9"/>
        <v>166.15</v>
      </c>
      <c r="J7" s="488">
        <f t="shared" si="9"/>
        <v>173.68</v>
      </c>
      <c r="K7" s="488">
        <f t="shared" si="9"/>
        <v>204.13</v>
      </c>
      <c r="L7" s="505"/>
      <c r="N7" s="469" t="s">
        <v>379</v>
      </c>
      <c r="O7" s="460">
        <f t="shared" ref="O7:X7" si="10">B7/B3</f>
        <v>8.1124852767962316E-2</v>
      </c>
      <c r="P7" s="460">
        <f t="shared" si="10"/>
        <v>0.10082541009298925</v>
      </c>
      <c r="Q7" s="460">
        <f t="shared" si="10"/>
        <v>7.3236153465425571E-2</v>
      </c>
      <c r="R7" s="460">
        <f t="shared" si="10"/>
        <v>5.9701629057780793E-2</v>
      </c>
      <c r="S7" s="461">
        <f t="shared" si="10"/>
        <v>5.5546776695051647E-2</v>
      </c>
      <c r="T7" s="460">
        <f t="shared" si="10"/>
        <v>5.973689105677614E-2</v>
      </c>
      <c r="U7" s="460">
        <f t="shared" si="10"/>
        <v>5.0677819660975482E-2</v>
      </c>
      <c r="V7" s="460">
        <f t="shared" si="10"/>
        <v>4.89699077485337E-2</v>
      </c>
      <c r="W7" s="460">
        <f t="shared" si="10"/>
        <v>4.9796718829742702E-2</v>
      </c>
      <c r="X7" s="501">
        <f t="shared" si="10"/>
        <v>4.9602822644333688E-2</v>
      </c>
      <c r="Z7" s="490">
        <f t="shared" si="4"/>
        <v>6.2921898201957122E-2</v>
      </c>
      <c r="AA7" s="460">
        <f t="shared" si="5"/>
        <v>4.89699077485337E-2</v>
      </c>
      <c r="AB7" s="491">
        <f t="shared" si="6"/>
        <v>0.10082541009298925</v>
      </c>
    </row>
    <row r="8" spans="1:28" x14ac:dyDescent="0.25">
      <c r="A8" s="502" t="s">
        <v>380</v>
      </c>
      <c r="B8" s="487">
        <f>'Data Sheet'!B28+'Data Sheet'!B26+'Data Sheet'!B27</f>
        <v>12.79</v>
      </c>
      <c r="C8" s="487">
        <f>'Data Sheet'!C28+'Data Sheet'!C26+'Data Sheet'!C27</f>
        <v>48.08</v>
      </c>
      <c r="D8" s="487">
        <f>'Data Sheet'!D28+'Data Sheet'!D26+'Data Sheet'!D27</f>
        <v>53.040000000000006</v>
      </c>
      <c r="E8" s="487">
        <f>'Data Sheet'!E28+'Data Sheet'!E26+'Data Sheet'!E27</f>
        <v>115.10000000000001</v>
      </c>
      <c r="F8" s="487">
        <f>'Data Sheet'!F28+'Data Sheet'!F26+'Data Sheet'!F27</f>
        <v>191.31</v>
      </c>
      <c r="G8" s="487">
        <f>'Data Sheet'!G28+'Data Sheet'!G26+'Data Sheet'!G27</f>
        <v>251.79</v>
      </c>
      <c r="H8" s="487">
        <f>'Data Sheet'!H28+'Data Sheet'!H26+'Data Sheet'!H27</f>
        <v>355.57</v>
      </c>
      <c r="I8" s="487">
        <f>'Data Sheet'!I28+'Data Sheet'!I26+'Data Sheet'!I27</f>
        <v>733.05</v>
      </c>
      <c r="J8" s="487">
        <f>'Data Sheet'!J28+'Data Sheet'!J26+'Data Sheet'!J27</f>
        <v>468.8</v>
      </c>
      <c r="K8" s="487">
        <f>'Data Sheet'!K28+'Data Sheet'!K26+'Data Sheet'!K27</f>
        <v>526.95000000000005</v>
      </c>
      <c r="L8" s="505"/>
      <c r="N8" s="469" t="s">
        <v>407</v>
      </c>
      <c r="O8" s="460">
        <f t="shared" ref="O8:X8" si="11">B8/B3</f>
        <v>6.2769925402434229E-2</v>
      </c>
      <c r="P8" s="460">
        <f t="shared" si="11"/>
        <v>0.1255877128826664</v>
      </c>
      <c r="Q8" s="460">
        <f t="shared" si="11"/>
        <v>8.4683792888732776E-2</v>
      </c>
      <c r="R8" s="460">
        <f t="shared" si="11"/>
        <v>0.10528048880880296</v>
      </c>
      <c r="S8" s="460">
        <f t="shared" si="11"/>
        <v>0.11196558686682469</v>
      </c>
      <c r="T8" s="460">
        <f t="shared" si="11"/>
        <v>0.13010251534629932</v>
      </c>
      <c r="U8" s="460">
        <f t="shared" si="11"/>
        <v>0.1359347641585173</v>
      </c>
      <c r="V8" s="460">
        <f t="shared" si="11"/>
        <v>0.21605411300067787</v>
      </c>
      <c r="W8" s="460">
        <f t="shared" si="11"/>
        <v>0.13441214755517836</v>
      </c>
      <c r="X8" s="491">
        <f t="shared" si="11"/>
        <v>0.12804686911493479</v>
      </c>
      <c r="Z8" s="490">
        <f t="shared" si="4"/>
        <v>0.12348379160250686</v>
      </c>
      <c r="AA8" s="460">
        <f t="shared" si="5"/>
        <v>6.2769925402434229E-2</v>
      </c>
      <c r="AB8" s="491">
        <f t="shared" si="6"/>
        <v>0.21605411300067787</v>
      </c>
    </row>
    <row r="9" spans="1:28" x14ac:dyDescent="0.25">
      <c r="A9" s="502" t="s">
        <v>381</v>
      </c>
      <c r="B9" s="487">
        <f>'Data Sheet'!B26</f>
        <v>2.9</v>
      </c>
      <c r="C9" s="487">
        <f>'Data Sheet'!C26</f>
        <v>4</v>
      </c>
      <c r="D9" s="487">
        <f>'Data Sheet'!D26</f>
        <v>4.9800000000000004</v>
      </c>
      <c r="E9" s="487">
        <f>'Data Sheet'!E26</f>
        <v>5.54</v>
      </c>
      <c r="F9" s="487">
        <f>'Data Sheet'!F26</f>
        <v>8.8000000000000007</v>
      </c>
      <c r="G9" s="487">
        <f>'Data Sheet'!G26</f>
        <v>10.23</v>
      </c>
      <c r="H9" s="487">
        <f>'Data Sheet'!H26</f>
        <v>13.69</v>
      </c>
      <c r="I9" s="487">
        <f>'Data Sheet'!I26</f>
        <v>23.76</v>
      </c>
      <c r="J9" s="487">
        <f>'Data Sheet'!J26</f>
        <v>35.840000000000003</v>
      </c>
      <c r="K9" s="487">
        <f>'Data Sheet'!K26</f>
        <v>37.71</v>
      </c>
      <c r="L9" s="505"/>
      <c r="N9" s="469" t="s">
        <v>381</v>
      </c>
      <c r="O9" s="460">
        <f t="shared" ref="O9:X9" si="12">B9/B3</f>
        <v>1.4232430310168825E-2</v>
      </c>
      <c r="P9" s="460">
        <f t="shared" si="12"/>
        <v>1.0448229025180233E-2</v>
      </c>
      <c r="Q9" s="460">
        <f t="shared" si="12"/>
        <v>7.9510801015439149E-3</v>
      </c>
      <c r="R9" s="460">
        <f t="shared" si="12"/>
        <v>5.0673667072177958E-3</v>
      </c>
      <c r="S9" s="461">
        <f t="shared" si="12"/>
        <v>5.1502648289585345E-3</v>
      </c>
      <c r="T9" s="460">
        <f t="shared" si="12"/>
        <v>5.2859475435586886E-3</v>
      </c>
      <c r="U9" s="460">
        <f t="shared" si="12"/>
        <v>5.2337005971541516E-3</v>
      </c>
      <c r="V9" s="460">
        <f t="shared" si="12"/>
        <v>7.0028589112558579E-3</v>
      </c>
      <c r="W9" s="460">
        <f t="shared" si="12"/>
        <v>1.0275877492273022E-2</v>
      </c>
      <c r="X9" s="491">
        <f t="shared" si="12"/>
        <v>9.1633882423838905E-3</v>
      </c>
      <c r="Z9" s="490">
        <f t="shared" si="4"/>
        <v>7.9811143759694909E-3</v>
      </c>
      <c r="AA9" s="460">
        <f t="shared" si="5"/>
        <v>5.0673667072177958E-3</v>
      </c>
      <c r="AB9" s="491">
        <f t="shared" si="6"/>
        <v>1.4232430310168825E-2</v>
      </c>
    </row>
    <row r="10" spans="1:28" x14ac:dyDescent="0.25">
      <c r="A10" s="504" t="s">
        <v>382</v>
      </c>
      <c r="B10" s="487">
        <f>'Data Sheet'!B27+'Data Sheet'!B28</f>
        <v>9.89</v>
      </c>
      <c r="C10" s="478">
        <f>'Data Sheet'!C27+'Data Sheet'!C28</f>
        <v>44.08</v>
      </c>
      <c r="D10" s="478">
        <f>'Data Sheet'!D27+'Data Sheet'!D28</f>
        <v>48.06</v>
      </c>
      <c r="E10" s="478">
        <f>'Data Sheet'!E27+'Data Sheet'!E28</f>
        <v>109.56</v>
      </c>
      <c r="F10" s="478">
        <f>'Data Sheet'!F27+'Data Sheet'!F28</f>
        <v>182.51</v>
      </c>
      <c r="G10" s="478">
        <f>'Data Sheet'!G27+'Data Sheet'!G28</f>
        <v>241.56</v>
      </c>
      <c r="H10" s="478">
        <f>'Data Sheet'!H27+'Data Sheet'!H28</f>
        <v>341.88</v>
      </c>
      <c r="I10" s="478">
        <f>'Data Sheet'!I27+'Data Sheet'!I28</f>
        <v>709.29</v>
      </c>
      <c r="J10" s="478">
        <f>'Data Sheet'!J27+'Data Sheet'!J28</f>
        <v>432.96000000000004</v>
      </c>
      <c r="K10" s="478">
        <f>'Data Sheet'!K27+'Data Sheet'!K28</f>
        <v>489.24</v>
      </c>
      <c r="L10" s="509">
        <f>L13+(SUM(Quarters[[#This Row],[Column8]:[Column11]]))</f>
        <v>488.44</v>
      </c>
      <c r="N10" s="471" t="s">
        <v>408</v>
      </c>
      <c r="O10" s="460">
        <f t="shared" ref="O10:X10" si="13">(B10/B3)-O11</f>
        <v>2.900471142520613E-2</v>
      </c>
      <c r="P10" s="460">
        <f t="shared" si="13"/>
        <v>0.10766900010448228</v>
      </c>
      <c r="Q10" s="460">
        <f t="shared" si="13"/>
        <v>7.2613478517714311E-2</v>
      </c>
      <c r="R10" s="460">
        <f t="shared" si="13"/>
        <v>9.6847073458523517E-2</v>
      </c>
      <c r="S10" s="460">
        <f t="shared" si="13"/>
        <v>0.10153630058818365</v>
      </c>
      <c r="T10" s="460">
        <f t="shared" si="13"/>
        <v>0.11371246098836368</v>
      </c>
      <c r="U10" s="460">
        <f t="shared" si="13"/>
        <v>0.12177433536972329</v>
      </c>
      <c r="V10" s="460">
        <f t="shared" si="13"/>
        <v>0.19450027999646319</v>
      </c>
      <c r="W10" s="460">
        <f t="shared" si="13"/>
        <v>0.10714265234619155</v>
      </c>
      <c r="X10" s="491">
        <f t="shared" si="13"/>
        <v>0.10171579645662882</v>
      </c>
      <c r="Z10" s="490">
        <f t="shared" si="4"/>
        <v>0.10465160892514805</v>
      </c>
      <c r="AA10" s="460">
        <f t="shared" si="5"/>
        <v>2.900471142520613E-2</v>
      </c>
      <c r="AB10" s="491">
        <f t="shared" si="6"/>
        <v>0.19450027999646319</v>
      </c>
    </row>
    <row r="11" spans="1:28" x14ac:dyDescent="0.25">
      <c r="A11" s="502" t="s">
        <v>398</v>
      </c>
      <c r="B11" s="487">
        <f>'Data Sheet'!B25</f>
        <v>3.98</v>
      </c>
      <c r="C11" s="478">
        <f>'Data Sheet'!C25</f>
        <v>2.86</v>
      </c>
      <c r="D11" s="478">
        <f>'Data Sheet'!D25</f>
        <v>2.58</v>
      </c>
      <c r="E11" s="478">
        <f>'Data Sheet'!E25</f>
        <v>3.68</v>
      </c>
      <c r="F11" s="478">
        <f>'Data Sheet'!F25</f>
        <v>9.02</v>
      </c>
      <c r="G11" s="478">
        <f>'Data Sheet'!G25</f>
        <v>21.49</v>
      </c>
      <c r="H11" s="478">
        <f>'Data Sheet'!H25</f>
        <v>23.35</v>
      </c>
      <c r="I11" s="478">
        <f>'Data Sheet'!I25</f>
        <v>49.37</v>
      </c>
      <c r="J11" s="478">
        <f>'Data Sheet'!J25</f>
        <v>59.27</v>
      </c>
      <c r="K11" s="478">
        <f>'Data Sheet'!K25</f>
        <v>70.650000000000006</v>
      </c>
      <c r="L11" s="509">
        <f>SUM(Quarters!H8:K8)</f>
        <v>80.360000000000014</v>
      </c>
      <c r="N11" s="469" t="s">
        <v>386</v>
      </c>
      <c r="O11" s="460">
        <f t="shared" ref="O11:X11" si="14">B11/B3</f>
        <v>1.9532783667059288E-2</v>
      </c>
      <c r="P11" s="460">
        <f t="shared" si="14"/>
        <v>7.4704837530038658E-3</v>
      </c>
      <c r="Q11" s="460">
        <f t="shared" si="14"/>
        <v>4.1192342694745584E-3</v>
      </c>
      <c r="R11" s="460">
        <f t="shared" si="14"/>
        <v>3.3660486430616408E-3</v>
      </c>
      <c r="S11" s="461">
        <f t="shared" si="14"/>
        <v>5.279021449682497E-3</v>
      </c>
      <c r="T11" s="460">
        <f t="shared" si="14"/>
        <v>1.110410681437695E-2</v>
      </c>
      <c r="U11" s="460">
        <f t="shared" si="14"/>
        <v>8.926728191639843E-3</v>
      </c>
      <c r="V11" s="460">
        <f t="shared" si="14"/>
        <v>1.4550974092958824E-2</v>
      </c>
      <c r="W11" s="460">
        <f t="shared" si="14"/>
        <v>1.6993617716713785E-2</v>
      </c>
      <c r="X11" s="491">
        <f t="shared" si="14"/>
        <v>1.7167684415922087E-2</v>
      </c>
      <c r="Z11" s="490">
        <f t="shared" si="4"/>
        <v>1.0851068301389336E-2</v>
      </c>
      <c r="AA11" s="460">
        <f t="shared" si="5"/>
        <v>3.3660486430616408E-3</v>
      </c>
      <c r="AB11" s="491">
        <f t="shared" si="6"/>
        <v>1.9532783667059288E-2</v>
      </c>
    </row>
    <row r="12" spans="1:28" x14ac:dyDescent="0.25">
      <c r="A12" s="502" t="s">
        <v>383</v>
      </c>
      <c r="B12" s="487">
        <f>'Data Sheet'!B27</f>
        <v>4.5999999999999996</v>
      </c>
      <c r="C12" s="487">
        <f>'Data Sheet'!C27</f>
        <v>4.07</v>
      </c>
      <c r="D12" s="487">
        <f>'Data Sheet'!D27</f>
        <v>3.92</v>
      </c>
      <c r="E12" s="487">
        <f>'Data Sheet'!E27</f>
        <v>4.3899999999999997</v>
      </c>
      <c r="F12" s="487">
        <f>'Data Sheet'!F27</f>
        <v>2.67</v>
      </c>
      <c r="G12" s="487">
        <f>'Data Sheet'!G27</f>
        <v>3.38</v>
      </c>
      <c r="H12" s="487">
        <f>'Data Sheet'!H27</f>
        <v>5.14</v>
      </c>
      <c r="I12" s="487">
        <f>'Data Sheet'!I27</f>
        <v>4.79</v>
      </c>
      <c r="J12" s="487">
        <f>'Data Sheet'!J27</f>
        <v>4.91</v>
      </c>
      <c r="K12" s="487">
        <f>'Data Sheet'!K27</f>
        <v>4.38</v>
      </c>
      <c r="L12" s="506">
        <f>SUM(Quarters!H10:K10)</f>
        <v>1.85</v>
      </c>
      <c r="N12" s="469" t="s">
        <v>383</v>
      </c>
      <c r="O12" s="460">
        <f t="shared" ref="O12:X12" si="15">B12/B3</f>
        <v>2.2575579112681585E-2</v>
      </c>
      <c r="P12" s="460">
        <f t="shared" si="15"/>
        <v>1.0631073033120888E-2</v>
      </c>
      <c r="Q12" s="460">
        <f t="shared" si="15"/>
        <v>6.2586815257132814E-3</v>
      </c>
      <c r="R12" s="460">
        <f t="shared" si="15"/>
        <v>4.0154765062610336E-3</v>
      </c>
      <c r="S12" s="461">
        <f t="shared" si="15"/>
        <v>1.5626371696953734E-3</v>
      </c>
      <c r="T12" s="460">
        <f t="shared" si="15"/>
        <v>1.7464812020751091E-3</v>
      </c>
      <c r="U12" s="460">
        <f t="shared" si="15"/>
        <v>1.9650271051404192E-3</v>
      </c>
      <c r="V12" s="460">
        <f t="shared" si="15"/>
        <v>1.4117716407792743E-3</v>
      </c>
      <c r="W12" s="460">
        <f t="shared" si="15"/>
        <v>1.4077722792148588E-3</v>
      </c>
      <c r="X12" s="491">
        <f t="shared" si="15"/>
        <v>1.0643235349149149E-3</v>
      </c>
      <c r="Z12" s="490">
        <f t="shared" si="4"/>
        <v>5.2638823109596739E-3</v>
      </c>
      <c r="AA12" s="460">
        <f t="shared" si="5"/>
        <v>1.0643235349149149E-3</v>
      </c>
      <c r="AB12" s="491">
        <f t="shared" si="6"/>
        <v>2.2575579112681585E-2</v>
      </c>
    </row>
    <row r="13" spans="1:28" x14ac:dyDescent="0.25">
      <c r="A13" s="511" t="s">
        <v>384</v>
      </c>
      <c r="B13" s="487">
        <f>'Data Sheet'!B28</f>
        <v>5.29</v>
      </c>
      <c r="C13" s="478">
        <f>'Data Sheet'!C28</f>
        <v>40.01</v>
      </c>
      <c r="D13" s="478">
        <f>'Data Sheet'!D28</f>
        <v>44.14</v>
      </c>
      <c r="E13" s="478">
        <f>'Data Sheet'!E28</f>
        <v>105.17</v>
      </c>
      <c r="F13" s="478">
        <f>'Data Sheet'!F28</f>
        <v>179.84</v>
      </c>
      <c r="G13" s="478">
        <f>'Data Sheet'!G28</f>
        <v>238.18</v>
      </c>
      <c r="H13" s="478">
        <f>'Data Sheet'!H28</f>
        <v>336.74</v>
      </c>
      <c r="I13" s="478">
        <f>'Data Sheet'!I28</f>
        <v>704.5</v>
      </c>
      <c r="J13" s="478">
        <f>'Data Sheet'!J28</f>
        <v>428.05</v>
      </c>
      <c r="K13" s="478">
        <f>'Data Sheet'!K28</f>
        <v>484.86</v>
      </c>
      <c r="L13" s="509">
        <f>SUM(Quarters!H11:K11)</f>
        <v>486.59</v>
      </c>
      <c r="N13" s="471" t="s">
        <v>409</v>
      </c>
      <c r="O13" s="460">
        <f t="shared" ref="O13:X13" si="16">B13/B3</f>
        <v>2.5961915979583826E-2</v>
      </c>
      <c r="P13" s="460">
        <f t="shared" si="16"/>
        <v>0.10450841082436527</v>
      </c>
      <c r="Q13" s="460">
        <f t="shared" si="16"/>
        <v>7.047403126147557E-2</v>
      </c>
      <c r="R13" s="460">
        <f t="shared" si="16"/>
        <v>9.6197645595324122E-2</v>
      </c>
      <c r="S13" s="460">
        <f t="shared" si="16"/>
        <v>0.10525268486817077</v>
      </c>
      <c r="T13" s="460">
        <f t="shared" si="16"/>
        <v>0.12307008660066553</v>
      </c>
      <c r="U13" s="460">
        <f t="shared" si="16"/>
        <v>0.12873603645622272</v>
      </c>
      <c r="V13" s="460">
        <f t="shared" si="16"/>
        <v>0.20763948244864275</v>
      </c>
      <c r="W13" s="460">
        <f t="shared" si="16"/>
        <v>0.12272849778369048</v>
      </c>
      <c r="X13" s="491">
        <f t="shared" si="16"/>
        <v>0.117819157337636</v>
      </c>
      <c r="Z13" s="492">
        <f t="shared" si="4"/>
        <v>0.11023879491557768</v>
      </c>
      <c r="AA13" s="463">
        <f t="shared" si="5"/>
        <v>2.5961915979583826E-2</v>
      </c>
      <c r="AB13" s="493">
        <f t="shared" si="6"/>
        <v>0.20763948244864275</v>
      </c>
    </row>
    <row r="14" spans="1:28" x14ac:dyDescent="0.25">
      <c r="A14" s="504" t="s">
        <v>397</v>
      </c>
      <c r="B14" s="487"/>
      <c r="C14" s="515">
        <f>C13/B13-1</f>
        <v>6.5633270321361055</v>
      </c>
      <c r="D14" s="515">
        <f t="shared" ref="D14:K14" si="17">D13/C13-1</f>
        <v>0.10322419395151217</v>
      </c>
      <c r="E14" s="515">
        <f t="shared" si="17"/>
        <v>1.3826461259628453</v>
      </c>
      <c r="F14" s="515">
        <f t="shared" si="17"/>
        <v>0.70999334410953696</v>
      </c>
      <c r="G14" s="515">
        <f t="shared" si="17"/>
        <v>0.32439946619217075</v>
      </c>
      <c r="H14" s="515">
        <f t="shared" si="17"/>
        <v>0.4138046855319506</v>
      </c>
      <c r="I14" s="515">
        <f t="shared" si="17"/>
        <v>1.0921185484349945</v>
      </c>
      <c r="J14" s="515">
        <f t="shared" si="17"/>
        <v>-0.39240596167494679</v>
      </c>
      <c r="K14" s="515">
        <f t="shared" si="17"/>
        <v>0.13271814040415841</v>
      </c>
      <c r="L14" s="505"/>
      <c r="N14" s="469" t="s">
        <v>385</v>
      </c>
      <c r="O14" s="460">
        <f t="shared" ref="O14:X14" si="18">B15/B3</f>
        <v>8.6376128778955646E-3</v>
      </c>
      <c r="P14" s="460">
        <f t="shared" si="18"/>
        <v>3.1240204785288897E-2</v>
      </c>
      <c r="Q14" s="460">
        <f t="shared" si="18"/>
        <v>2.2288569923203425E-2</v>
      </c>
      <c r="R14" s="460">
        <f t="shared" si="18"/>
        <v>3.2398218189468295E-2</v>
      </c>
      <c r="S14" s="461">
        <f t="shared" si="18"/>
        <v>3.702923360547801E-2</v>
      </c>
      <c r="T14" s="460">
        <f t="shared" si="18"/>
        <v>4.0923464853357586E-2</v>
      </c>
      <c r="U14" s="460">
        <f t="shared" si="18"/>
        <v>4.2217498681061581E-2</v>
      </c>
      <c r="V14" s="460">
        <f t="shared" si="18"/>
        <v>7.015237702260603E-2</v>
      </c>
      <c r="W14" s="460">
        <f t="shared" si="18"/>
        <v>3.4818709895692961E-2</v>
      </c>
      <c r="X14" s="491">
        <f t="shared" si="18"/>
        <v>2.3952139460402547E-2</v>
      </c>
      <c r="Z14" s="492">
        <f t="shared" si="4"/>
        <v>3.4365802929445487E-2</v>
      </c>
      <c r="AA14" s="463">
        <f t="shared" si="5"/>
        <v>8.6376128778955646E-3</v>
      </c>
      <c r="AB14" s="493">
        <f t="shared" si="6"/>
        <v>7.015237702260603E-2</v>
      </c>
    </row>
    <row r="15" spans="1:28" x14ac:dyDescent="0.25">
      <c r="A15" s="502" t="s">
        <v>385</v>
      </c>
      <c r="B15" s="487">
        <f>'Data Sheet'!B29</f>
        <v>1.76</v>
      </c>
      <c r="C15" s="487">
        <f>'Data Sheet'!C29</f>
        <v>11.96</v>
      </c>
      <c r="D15" s="487">
        <f>'Data Sheet'!D29</f>
        <v>13.96</v>
      </c>
      <c r="E15" s="487">
        <f>'Data Sheet'!E29</f>
        <v>35.42</v>
      </c>
      <c r="F15" s="487">
        <f>'Data Sheet'!F29</f>
        <v>63.27</v>
      </c>
      <c r="G15" s="487">
        <f>'Data Sheet'!G29</f>
        <v>79.2</v>
      </c>
      <c r="H15" s="487">
        <f>'Data Sheet'!H29</f>
        <v>110.43</v>
      </c>
      <c r="I15" s="487">
        <f>'Data Sheet'!I29</f>
        <v>238.02</v>
      </c>
      <c r="J15" s="487">
        <f>'Data Sheet'!J29</f>
        <v>121.44</v>
      </c>
      <c r="K15" s="487">
        <f>'Data Sheet'!K29</f>
        <v>98.57</v>
      </c>
      <c r="L15" s="505"/>
      <c r="N15" s="471" t="s">
        <v>405</v>
      </c>
      <c r="O15" s="460">
        <f t="shared" ref="O15:X15" si="19">B16/B3</f>
        <v>1.6686297605025522E-2</v>
      </c>
      <c r="P15" s="460">
        <f t="shared" si="19"/>
        <v>7.3268206039076383E-2</v>
      </c>
      <c r="Q15" s="460">
        <f t="shared" si="19"/>
        <v>4.7977903022368401E-2</v>
      </c>
      <c r="R15" s="460">
        <f t="shared" si="19"/>
        <v>6.4403120912491882E-2</v>
      </c>
      <c r="S15" s="460">
        <f t="shared" si="19"/>
        <v>6.7843033974190142E-2</v>
      </c>
      <c r="T15" s="460">
        <f t="shared" si="19"/>
        <v>8.1381890333381557E-2</v>
      </c>
      <c r="U15" s="460">
        <f t="shared" si="19"/>
        <v>8.244703219738965E-2</v>
      </c>
      <c r="V15" s="460">
        <f t="shared" si="19"/>
        <v>0.13158949571163311</v>
      </c>
      <c r="W15" s="460">
        <f t="shared" si="19"/>
        <v>7.8453916244717259E-2</v>
      </c>
      <c r="X15" s="491">
        <f t="shared" si="19"/>
        <v>8.4195767491476906E-2</v>
      </c>
      <c r="Z15" s="492">
        <f t="shared" si="4"/>
        <v>7.2824666353175097E-2</v>
      </c>
      <c r="AA15" s="463">
        <f t="shared" si="5"/>
        <v>1.6686297605025522E-2</v>
      </c>
      <c r="AB15" s="493">
        <f t="shared" si="6"/>
        <v>0.13158949571163311</v>
      </c>
    </row>
    <row r="16" spans="1:28" ht="15.75" thickBot="1" x14ac:dyDescent="0.3">
      <c r="A16" s="511" t="s">
        <v>411</v>
      </c>
      <c r="B16" s="487">
        <f>'Data Sheet'!B30</f>
        <v>3.4</v>
      </c>
      <c r="C16" s="478">
        <f>'Data Sheet'!C30</f>
        <v>28.05</v>
      </c>
      <c r="D16" s="478">
        <f>'Data Sheet'!D30</f>
        <v>30.05</v>
      </c>
      <c r="E16" s="478">
        <f>'Data Sheet'!E30</f>
        <v>70.41</v>
      </c>
      <c r="F16" s="478">
        <f>'Data Sheet'!F30</f>
        <v>115.92</v>
      </c>
      <c r="G16" s="478">
        <f>'Data Sheet'!G30</f>
        <v>157.5</v>
      </c>
      <c r="H16" s="478">
        <f>'Data Sheet'!H30</f>
        <v>215.66</v>
      </c>
      <c r="I16" s="478">
        <f>'Data Sheet'!I30</f>
        <v>446.47</v>
      </c>
      <c r="J16" s="478">
        <f>'Data Sheet'!J30</f>
        <v>273.63</v>
      </c>
      <c r="K16" s="478">
        <f>'Data Sheet'!K30</f>
        <v>346.49</v>
      </c>
      <c r="L16" s="509">
        <f>SUM(Quarters!H15:K15)</f>
        <v>357.63</v>
      </c>
      <c r="N16" s="472" t="s">
        <v>410</v>
      </c>
      <c r="O16" s="495">
        <f t="shared" ref="O16:X16" si="20">B15/B13</f>
        <v>0.33270321361058602</v>
      </c>
      <c r="P16" s="495">
        <f t="shared" si="20"/>
        <v>0.29892526868282931</v>
      </c>
      <c r="Q16" s="495">
        <f t="shared" si="20"/>
        <v>0.31626642501132762</v>
      </c>
      <c r="R16" s="495">
        <f t="shared" si="20"/>
        <v>0.33678805743082629</v>
      </c>
      <c r="S16" s="495">
        <f t="shared" si="20"/>
        <v>0.35181272241992884</v>
      </c>
      <c r="T16" s="495">
        <f t="shared" si="20"/>
        <v>0.33252162230246035</v>
      </c>
      <c r="U16" s="495">
        <f t="shared" si="20"/>
        <v>0.32793846884836969</v>
      </c>
      <c r="V16" s="495">
        <f t="shared" si="20"/>
        <v>0.33785663591199433</v>
      </c>
      <c r="W16" s="495">
        <f t="shared" si="20"/>
        <v>0.28370517462913208</v>
      </c>
      <c r="X16" s="496">
        <f t="shared" si="20"/>
        <v>0.20329579672482775</v>
      </c>
      <c r="Z16" s="494">
        <f t="shared" si="4"/>
        <v>0.31218133855722818</v>
      </c>
      <c r="AA16" s="495">
        <f t="shared" si="5"/>
        <v>0.20329579672482775</v>
      </c>
      <c r="AB16" s="496">
        <f t="shared" si="6"/>
        <v>0.35181272241992884</v>
      </c>
    </row>
    <row r="17" spans="1:27" x14ac:dyDescent="0.25">
      <c r="A17" s="504" t="s">
        <v>397</v>
      </c>
      <c r="B17" s="186"/>
      <c r="C17" s="515">
        <f>C16/B16-1</f>
        <v>7.25</v>
      </c>
      <c r="D17" s="515">
        <f t="shared" ref="D17:K17" si="21">D16/C16-1</f>
        <v>7.1301247771835996E-2</v>
      </c>
      <c r="E17" s="515">
        <f t="shared" si="21"/>
        <v>1.3430948419301165</v>
      </c>
      <c r="F17" s="515">
        <f t="shared" si="21"/>
        <v>0.64635705155517686</v>
      </c>
      <c r="G17" s="515">
        <f t="shared" si="21"/>
        <v>0.35869565217391308</v>
      </c>
      <c r="H17" s="515">
        <f t="shared" si="21"/>
        <v>0.36926984126984119</v>
      </c>
      <c r="I17" s="515">
        <f t="shared" si="21"/>
        <v>1.0702494667532227</v>
      </c>
      <c r="J17" s="515">
        <f t="shared" si="21"/>
        <v>-0.38712567473738446</v>
      </c>
      <c r="K17" s="515">
        <f t="shared" si="21"/>
        <v>0.26627197310236461</v>
      </c>
      <c r="L17" s="483"/>
    </row>
    <row r="18" spans="1:27" x14ac:dyDescent="0.25">
      <c r="A18" s="511" t="s">
        <v>46</v>
      </c>
      <c r="B18" s="314">
        <f>IF('Data Sheet'!B93&gt;0,B16/'Data Sheet'!B93,0)</f>
        <v>0.28333333333333333</v>
      </c>
      <c r="C18" s="478">
        <f>IF('Data Sheet'!C93&gt;0,C16/'Data Sheet'!C93,0)</f>
        <v>2.3374999999999999</v>
      </c>
      <c r="D18" s="478">
        <f>IF('Data Sheet'!D93&gt;0,D16/'Data Sheet'!D93,0)</f>
        <v>2.2095588235294117</v>
      </c>
      <c r="E18" s="478">
        <f>IF('Data Sheet'!E93&gt;0,E16/'Data Sheet'!E93,0)</f>
        <v>5.1772058823529408</v>
      </c>
      <c r="F18" s="478">
        <f>IF('Data Sheet'!F93&gt;0,F16/'Data Sheet'!F93,0)</f>
        <v>8.5235294117647058</v>
      </c>
      <c r="G18" s="478">
        <f>IF('Data Sheet'!G93&gt;0,G16/'Data Sheet'!G93,0)</f>
        <v>11.56387665198238</v>
      </c>
      <c r="H18" s="478">
        <f>IF('Data Sheet'!H93&gt;0,H16/'Data Sheet'!H93,0)</f>
        <v>15.834067547723937</v>
      </c>
      <c r="I18" s="478">
        <f>IF('Data Sheet'!I93&gt;0,I16/'Data Sheet'!I93,0)</f>
        <v>32.78046989720999</v>
      </c>
      <c r="J18" s="478">
        <f>IF('Data Sheet'!J93&gt;0,J16/'Data Sheet'!J93,0)</f>
        <v>20.090308370044053</v>
      </c>
      <c r="K18" s="478">
        <f>IF('Data Sheet'!K93&gt;0,K16/'Data Sheet'!K93,0)</f>
        <v>25.439794419970635</v>
      </c>
      <c r="L18" s="509">
        <f>IF('Data Sheet'!$B6&gt;0,L16/'Data Sheet'!$B6,0)</f>
        <v>26.248906666666667</v>
      </c>
    </row>
    <row r="19" spans="1:27" ht="15" customHeight="1" x14ac:dyDescent="0.35">
      <c r="A19" s="504" t="s">
        <v>397</v>
      </c>
      <c r="B19" s="337"/>
      <c r="C19" s="515">
        <f>C18/B18-1</f>
        <v>7.25</v>
      </c>
      <c r="D19" s="515">
        <f t="shared" ref="D19:K19" si="22">D18/C18-1</f>
        <v>-5.4734193142497611E-2</v>
      </c>
      <c r="E19" s="515">
        <f t="shared" si="22"/>
        <v>1.3430948419301165</v>
      </c>
      <c r="F19" s="515">
        <f t="shared" si="22"/>
        <v>0.64635705155517686</v>
      </c>
      <c r="G19" s="515">
        <f t="shared" si="22"/>
        <v>0.35670050437336398</v>
      </c>
      <c r="H19" s="515">
        <f t="shared" si="22"/>
        <v>0.36926984126984119</v>
      </c>
      <c r="I19" s="515">
        <f t="shared" si="22"/>
        <v>1.0702494667532227</v>
      </c>
      <c r="J19" s="515">
        <f t="shared" si="22"/>
        <v>-0.38712567473738446</v>
      </c>
      <c r="K19" s="515">
        <f t="shared" si="22"/>
        <v>0.26627197310236461</v>
      </c>
      <c r="L19" s="483"/>
      <c r="N19" s="954" t="s">
        <v>412</v>
      </c>
      <c r="O19" s="954"/>
      <c r="P19" s="954"/>
      <c r="R19" s="74"/>
      <c r="S19" s="74"/>
      <c r="W19" s="886" t="str">
        <f>INSTRUCTIONS!A2</f>
        <v>http://www.investordiary.in/</v>
      </c>
      <c r="X19" s="886"/>
      <c r="Y19" s="886"/>
      <c r="Z19" s="886"/>
      <c r="AA19" s="886"/>
    </row>
    <row r="20" spans="1:27" ht="15" customHeight="1" x14ac:dyDescent="0.25">
      <c r="A20" s="504" t="s">
        <v>399</v>
      </c>
      <c r="B20" s="314">
        <f>IF(B21&gt;0,B21/B18,"")</f>
        <v>8.2235294117647069</v>
      </c>
      <c r="C20" s="513">
        <f t="shared" ref="C20:L20" si="23">IF(C21&gt;0,C21/C18,"")</f>
        <v>2.7294117647058824</v>
      </c>
      <c r="D20" s="513">
        <f t="shared" si="23"/>
        <v>3.1906821963394343</v>
      </c>
      <c r="E20" s="513">
        <f t="shared" si="23"/>
        <v>6.6947308620934525</v>
      </c>
      <c r="F20" s="513">
        <f t="shared" si="23"/>
        <v>12.022015182884749</v>
      </c>
      <c r="G20" s="513">
        <f t="shared" si="23"/>
        <v>11.466742857142856</v>
      </c>
      <c r="H20" s="513">
        <f t="shared" si="23"/>
        <v>15.526016878419734</v>
      </c>
      <c r="I20" s="513">
        <f t="shared" si="23"/>
        <v>22.723591282728957</v>
      </c>
      <c r="J20" s="513">
        <f t="shared" si="23"/>
        <v>20.348119723714508</v>
      </c>
      <c r="K20" s="513">
        <f t="shared" si="23"/>
        <v>11.566524286415191</v>
      </c>
      <c r="L20" s="514">
        <f t="shared" si="23"/>
        <v>19.817968291250736</v>
      </c>
      <c r="M20" s="512"/>
      <c r="N20" s="954"/>
      <c r="O20" s="954"/>
      <c r="P20" s="954"/>
    </row>
    <row r="21" spans="1:27" x14ac:dyDescent="0.25">
      <c r="A21" s="502" t="s">
        <v>400</v>
      </c>
      <c r="B21" s="186">
        <f>'Data Sheet'!B90</f>
        <v>2.33</v>
      </c>
      <c r="C21" s="478">
        <f>'Data Sheet'!C90</f>
        <v>6.38</v>
      </c>
      <c r="D21" s="478">
        <f>'Data Sheet'!D90</f>
        <v>7.05</v>
      </c>
      <c r="E21" s="478">
        <f>'Data Sheet'!E90</f>
        <v>34.659999999999997</v>
      </c>
      <c r="F21" s="478">
        <f>'Data Sheet'!F90</f>
        <v>102.47</v>
      </c>
      <c r="G21" s="478">
        <f>'Data Sheet'!G90</f>
        <v>132.6</v>
      </c>
      <c r="H21" s="478">
        <f>'Data Sheet'!H90</f>
        <v>245.84</v>
      </c>
      <c r="I21" s="478">
        <f>'Data Sheet'!I90</f>
        <v>744.89</v>
      </c>
      <c r="J21" s="478">
        <f>'Data Sheet'!J90</f>
        <v>408.8</v>
      </c>
      <c r="K21" s="478">
        <f>'Data Sheet'!K90</f>
        <v>294.25</v>
      </c>
      <c r="L21" s="509">
        <f>'Data Sheet'!B8</f>
        <v>520.20000000000005</v>
      </c>
    </row>
    <row r="22" spans="1:27" x14ac:dyDescent="0.25">
      <c r="A22" s="645" t="s">
        <v>401</v>
      </c>
      <c r="B22" s="484">
        <f>IF('Data Sheet'!B30&gt;0, 'Data Sheet'!B31/'Data Sheet'!B30, 0)</f>
        <v>0.23529411764705885</v>
      </c>
      <c r="C22" s="484">
        <f>IF('Data Sheet'!C30&gt;0, 'Data Sheet'!C31/'Data Sheet'!C30, 0)</f>
        <v>0.18538324420677363</v>
      </c>
      <c r="D22" s="484">
        <f>IF('Data Sheet'!D30&gt;0, 'Data Sheet'!D31/'Data Sheet'!D30, 0)</f>
        <v>0.19633943427620634</v>
      </c>
      <c r="E22" s="484">
        <f>IF('Data Sheet'!E30&gt;0, 'Data Sheet'!E31/'Data Sheet'!E30, 0)</f>
        <v>0.19343843204090327</v>
      </c>
      <c r="F22" s="484">
        <f>IF('Data Sheet'!F30&gt;0, 'Data Sheet'!F31/'Data Sheet'!F30, 0)</f>
        <v>0.21540717736369908</v>
      </c>
      <c r="G22" s="484">
        <f>IF('Data Sheet'!G30&gt;0, 'Data Sheet'!G31/'Data Sheet'!G30, 0)</f>
        <v>0.20177777777777778</v>
      </c>
      <c r="H22" s="484">
        <f>IF('Data Sheet'!H30&gt;0, 'Data Sheet'!H31/'Data Sheet'!H30, 0)</f>
        <v>0.18946489845126588</v>
      </c>
      <c r="I22" s="484">
        <f>IF('Data Sheet'!I30&gt;0, 'Data Sheet'!I31/'Data Sheet'!I30, 0)</f>
        <v>0.12202387618429009</v>
      </c>
      <c r="J22" s="484">
        <f>IF('Data Sheet'!J30&gt;0, 'Data Sheet'!J31/'Data Sheet'!J30, 0)</f>
        <v>0.19910097577020064</v>
      </c>
      <c r="K22" s="484">
        <f>IF('Data Sheet'!K30&gt;0, 'Data Sheet'!K31/'Data Sheet'!K30, 0)</f>
        <v>0.20046754596092237</v>
      </c>
      <c r="L22" s="483"/>
    </row>
    <row r="23" spans="1:27" x14ac:dyDescent="0.25">
      <c r="A23" s="502" t="s">
        <v>402</v>
      </c>
      <c r="B23" s="186">
        <f>B21*'Data Sheet'!B93</f>
        <v>27.96</v>
      </c>
      <c r="C23" s="478">
        <f>C21*'Data Sheet'!C93</f>
        <v>76.56</v>
      </c>
      <c r="D23" s="478">
        <f>D21*'Data Sheet'!D93</f>
        <v>95.88</v>
      </c>
      <c r="E23" s="478">
        <f>E21*'Data Sheet'!E93</f>
        <v>471.37599999999992</v>
      </c>
      <c r="F23" s="478">
        <f>F21*'Data Sheet'!F93</f>
        <v>1393.5919999999999</v>
      </c>
      <c r="G23" s="478">
        <f>G21*'Data Sheet'!G93</f>
        <v>1806.0119999999997</v>
      </c>
      <c r="H23" s="478">
        <f>H21*'Data Sheet'!H93</f>
        <v>3348.3407999999999</v>
      </c>
      <c r="I23" s="478">
        <f>I21*'Data Sheet'!I93</f>
        <v>10145.4018</v>
      </c>
      <c r="J23" s="478">
        <f>J21*'Data Sheet'!J93</f>
        <v>5567.8559999999998</v>
      </c>
      <c r="K23" s="478">
        <f>K21*'Data Sheet'!K93</f>
        <v>4007.6849999999999</v>
      </c>
      <c r="L23" s="483"/>
    </row>
    <row r="24" spans="1:27" x14ac:dyDescent="0.25">
      <c r="A24" s="502" t="s">
        <v>403</v>
      </c>
      <c r="B24" s="186">
        <f>B16*(1-B22)</f>
        <v>2.5999999999999996</v>
      </c>
      <c r="C24" s="186">
        <f t="shared" ref="C24:K24" si="24">C16*(1-C22)</f>
        <v>22.849999999999998</v>
      </c>
      <c r="D24" s="186">
        <f t="shared" si="24"/>
        <v>24.15</v>
      </c>
      <c r="E24" s="186">
        <f t="shared" si="24"/>
        <v>56.79</v>
      </c>
      <c r="F24" s="186">
        <f t="shared" si="24"/>
        <v>90.95</v>
      </c>
      <c r="G24" s="186">
        <f t="shared" si="24"/>
        <v>125.71999999999998</v>
      </c>
      <c r="H24" s="186">
        <f t="shared" si="24"/>
        <v>174.79999999999998</v>
      </c>
      <c r="I24" s="186">
        <f t="shared" si="24"/>
        <v>391.99</v>
      </c>
      <c r="J24" s="186">
        <f t="shared" si="24"/>
        <v>219.14999999999998</v>
      </c>
      <c r="K24" s="186">
        <f t="shared" si="24"/>
        <v>277.02999999999997</v>
      </c>
      <c r="L24" s="483"/>
    </row>
    <row r="25" spans="1:27" ht="15.75" thickBot="1" x14ac:dyDescent="0.3">
      <c r="A25" s="510" t="s">
        <v>404</v>
      </c>
      <c r="B25" s="507">
        <f>(K23-B23)/SUM(B24:K24)</f>
        <v>2.8713123092573754</v>
      </c>
      <c r="C25" s="473"/>
      <c r="D25" s="473"/>
      <c r="E25" s="473"/>
      <c r="F25" s="473"/>
      <c r="G25" s="473"/>
      <c r="H25" s="473"/>
      <c r="I25" s="473"/>
      <c r="J25" s="473"/>
      <c r="K25" s="473"/>
      <c r="L25" s="474"/>
    </row>
    <row r="26" spans="1:27" x14ac:dyDescent="0.25">
      <c r="A26" s="2"/>
      <c r="B26" s="73"/>
      <c r="C26" s="73"/>
      <c r="D26" s="73"/>
      <c r="E26" s="73"/>
      <c r="F26" s="98"/>
      <c r="G26" s="98"/>
      <c r="H26" s="98"/>
      <c r="I26" s="98"/>
      <c r="J26" s="98"/>
      <c r="K26" s="98"/>
    </row>
    <row r="27" spans="1:27" ht="15.75" thickBot="1" x14ac:dyDescent="0.3">
      <c r="B27" s="73"/>
      <c r="C27" s="73"/>
      <c r="D27" s="73"/>
      <c r="E27" s="73"/>
      <c r="F27" s="73"/>
      <c r="H27" s="2"/>
    </row>
    <row r="28" spans="1:27" ht="18.75" x14ac:dyDescent="0.3">
      <c r="A28" s="983" t="s">
        <v>387</v>
      </c>
      <c r="B28" s="984"/>
      <c r="C28" s="984"/>
      <c r="D28" s="984"/>
      <c r="E28" s="984"/>
      <c r="F28" s="984"/>
      <c r="G28" s="984"/>
      <c r="H28" s="984"/>
      <c r="I28" s="984"/>
      <c r="J28" s="984"/>
      <c r="K28" s="985"/>
    </row>
    <row r="29" spans="1:27" x14ac:dyDescent="0.25">
      <c r="A29" s="475"/>
      <c r="B29" s="467">
        <f t="shared" ref="B29:K29" si="25">B2</f>
        <v>40633</v>
      </c>
      <c r="C29" s="467">
        <f t="shared" si="25"/>
        <v>40999</v>
      </c>
      <c r="D29" s="467">
        <f t="shared" si="25"/>
        <v>41364</v>
      </c>
      <c r="E29" s="467">
        <f t="shared" si="25"/>
        <v>41729</v>
      </c>
      <c r="F29" s="467">
        <f t="shared" si="25"/>
        <v>42094</v>
      </c>
      <c r="G29" s="467">
        <f t="shared" si="25"/>
        <v>42460</v>
      </c>
      <c r="H29" s="467">
        <f t="shared" si="25"/>
        <v>42825</v>
      </c>
      <c r="I29" s="467">
        <f t="shared" si="25"/>
        <v>43190</v>
      </c>
      <c r="J29" s="467">
        <f t="shared" si="25"/>
        <v>43555</v>
      </c>
      <c r="K29" s="476">
        <f t="shared" si="25"/>
        <v>43921</v>
      </c>
    </row>
    <row r="30" spans="1:27" x14ac:dyDescent="0.25">
      <c r="A30" s="477"/>
      <c r="B30" s="464"/>
      <c r="C30" s="98"/>
      <c r="D30" s="98"/>
      <c r="E30" s="98"/>
      <c r="F30" s="98"/>
      <c r="G30" s="2"/>
      <c r="H30" s="2"/>
      <c r="I30" s="2"/>
      <c r="J30" s="2"/>
      <c r="K30" s="183"/>
    </row>
    <row r="31" spans="1:27" x14ac:dyDescent="0.25">
      <c r="A31" s="469" t="s">
        <v>388</v>
      </c>
      <c r="B31" s="479">
        <f>'Data Sheet'!B18</f>
        <v>171.61</v>
      </c>
      <c r="C31" s="479">
        <f>'Data Sheet'!C18</f>
        <v>274.93</v>
      </c>
      <c r="D31" s="479">
        <f>'Data Sheet'!D18</f>
        <v>516.33000000000004</v>
      </c>
      <c r="E31" s="479">
        <f>'Data Sheet'!E18</f>
        <v>882.4</v>
      </c>
      <c r="F31" s="479">
        <f>'Data Sheet'!F18</f>
        <v>1383.06</v>
      </c>
      <c r="G31" s="479">
        <f>'Data Sheet'!G18</f>
        <v>1542.97</v>
      </c>
      <c r="H31" s="479">
        <f>'Data Sheet'!H18</f>
        <v>2100.54</v>
      </c>
      <c r="I31" s="479">
        <f>'Data Sheet'!I18</f>
        <v>2485.1799999999998</v>
      </c>
      <c r="J31" s="479">
        <f>'Data Sheet'!J18</f>
        <v>2740.18</v>
      </c>
      <c r="K31" s="480">
        <f>'Data Sheet'!K18</f>
        <v>3299.37</v>
      </c>
    </row>
    <row r="32" spans="1:27" x14ac:dyDescent="0.25">
      <c r="A32" s="469" t="s">
        <v>394</v>
      </c>
      <c r="B32" s="479">
        <f>'Data Sheet'!B20</f>
        <v>7.05</v>
      </c>
      <c r="C32" s="479">
        <f>'Data Sheet'!C20</f>
        <v>10.85</v>
      </c>
      <c r="D32" s="479">
        <f>'Data Sheet'!D20</f>
        <v>19.12</v>
      </c>
      <c r="E32" s="479">
        <f>'Data Sheet'!E20</f>
        <v>26.39</v>
      </c>
      <c r="F32" s="479">
        <f>'Data Sheet'!F20</f>
        <v>28.83</v>
      </c>
      <c r="G32" s="479">
        <f>'Data Sheet'!G20</f>
        <v>25.63</v>
      </c>
      <c r="H32" s="479">
        <f>'Data Sheet'!H20</f>
        <v>33.65</v>
      </c>
      <c r="I32" s="479">
        <f>'Data Sheet'!I20</f>
        <v>49.35</v>
      </c>
      <c r="J32" s="479">
        <f>'Data Sheet'!J20</f>
        <v>53.61</v>
      </c>
      <c r="K32" s="480">
        <f>'Data Sheet'!K20</f>
        <v>59.31</v>
      </c>
    </row>
    <row r="33" spans="1:11" x14ac:dyDescent="0.25">
      <c r="A33" s="469" t="s">
        <v>395</v>
      </c>
      <c r="B33" s="479">
        <f>'Data Sheet'!B21</f>
        <v>9.18</v>
      </c>
      <c r="C33" s="479">
        <f>'Data Sheet'!C21</f>
        <v>9.07</v>
      </c>
      <c r="D33" s="479">
        <f>'Data Sheet'!D21</f>
        <v>13.91</v>
      </c>
      <c r="E33" s="479">
        <f>'Data Sheet'!E21</f>
        <v>20.420000000000002</v>
      </c>
      <c r="F33" s="479">
        <f>'Data Sheet'!F21</f>
        <v>34.56</v>
      </c>
      <c r="G33" s="479">
        <f>'Data Sheet'!G21</f>
        <v>34.869999999999997</v>
      </c>
      <c r="H33" s="479">
        <f>'Data Sheet'!H21</f>
        <v>46.15</v>
      </c>
      <c r="I33" s="479">
        <f>'Data Sheet'!I21</f>
        <v>84.04</v>
      </c>
      <c r="J33" s="479">
        <f>'Data Sheet'!J21</f>
        <v>114.03</v>
      </c>
      <c r="K33" s="480">
        <f>'Data Sheet'!K21</f>
        <v>131.38</v>
      </c>
    </row>
    <row r="34" spans="1:11" x14ac:dyDescent="0.25">
      <c r="A34" s="469" t="s">
        <v>396</v>
      </c>
      <c r="B34" s="479">
        <f>'Data Sheet'!B23</f>
        <v>13.57</v>
      </c>
      <c r="C34" s="479">
        <f>'Data Sheet'!C23</f>
        <v>26.53</v>
      </c>
      <c r="D34" s="479">
        <f>'Data Sheet'!D23</f>
        <v>43.26</v>
      </c>
      <c r="E34" s="479">
        <f>'Data Sheet'!E23</f>
        <v>66.38</v>
      </c>
      <c r="F34" s="479">
        <f>'Data Sheet'!F23</f>
        <v>116.63</v>
      </c>
      <c r="G34" s="479">
        <f>'Data Sheet'!G23</f>
        <v>133.12</v>
      </c>
      <c r="H34" s="479">
        <f>'Data Sheet'!H23</f>
        <v>51.11</v>
      </c>
      <c r="I34" s="479">
        <f>'Data Sheet'!I23</f>
        <v>43.68</v>
      </c>
      <c r="J34" s="479">
        <f>'Data Sheet'!J23</f>
        <v>54.25</v>
      </c>
      <c r="K34" s="480">
        <f>'Data Sheet'!K23</f>
        <v>65.27</v>
      </c>
    </row>
    <row r="35" spans="1:11" x14ac:dyDescent="0.25">
      <c r="A35" s="469" t="s">
        <v>389</v>
      </c>
      <c r="B35" s="479">
        <f>'Data Sheet'!B19</f>
        <v>9.42</v>
      </c>
      <c r="C35" s="479">
        <f>'Data Sheet'!C19</f>
        <v>-4.17</v>
      </c>
      <c r="D35" s="479">
        <f>'Data Sheet'!D19</f>
        <v>19.36</v>
      </c>
      <c r="E35" s="479">
        <f>'Data Sheet'!E19</f>
        <v>12.63</v>
      </c>
      <c r="F35" s="479">
        <f>'Data Sheet'!F19</f>
        <v>15</v>
      </c>
      <c r="G35" s="479">
        <f>'Data Sheet'!G19</f>
        <v>14.06</v>
      </c>
      <c r="H35" s="479">
        <f>'Data Sheet'!H19</f>
        <v>29.38</v>
      </c>
      <c r="I35" s="479">
        <f>'Data Sheet'!I19</f>
        <v>75.5</v>
      </c>
      <c r="J35" s="479">
        <f>'Data Sheet'!J19</f>
        <v>3.25</v>
      </c>
      <c r="K35" s="480">
        <f>'Data Sheet'!K19</f>
        <v>35.200000000000003</v>
      </c>
    </row>
    <row r="36" spans="1:11" x14ac:dyDescent="0.25">
      <c r="A36" s="469" t="s">
        <v>390</v>
      </c>
      <c r="B36" s="479">
        <f>'Data Sheet'!B22</f>
        <v>7.47</v>
      </c>
      <c r="C36" s="479">
        <f>'Data Sheet'!C22</f>
        <v>15.84</v>
      </c>
      <c r="D36" s="479">
        <f>'Data Sheet'!D22</f>
        <v>21.64</v>
      </c>
      <c r="E36" s="479">
        <f>'Data Sheet'!E22</f>
        <v>35.24</v>
      </c>
      <c r="F36" s="479">
        <f>'Data Sheet'!F22</f>
        <v>47.68</v>
      </c>
      <c r="G36" s="479">
        <f>'Data Sheet'!G22</f>
        <v>58.22</v>
      </c>
      <c r="H36" s="479">
        <f>'Data Sheet'!H22</f>
        <v>73.150000000000006</v>
      </c>
      <c r="I36" s="479">
        <f>'Data Sheet'!I22</f>
        <v>110.97</v>
      </c>
      <c r="J36" s="479">
        <f>'Data Sheet'!J22</f>
        <v>100.57</v>
      </c>
      <c r="K36" s="480">
        <f>'Data Sheet'!K22</f>
        <v>113.92</v>
      </c>
    </row>
    <row r="37" spans="1:11" x14ac:dyDescent="0.25">
      <c r="A37" s="469" t="s">
        <v>391</v>
      </c>
      <c r="B37" s="479">
        <f>'Data Sheet'!B27</f>
        <v>4.5999999999999996</v>
      </c>
      <c r="C37" s="479">
        <f>'Data Sheet'!C27</f>
        <v>4.07</v>
      </c>
      <c r="D37" s="479">
        <f>'Data Sheet'!D27</f>
        <v>3.92</v>
      </c>
      <c r="E37" s="479">
        <f>'Data Sheet'!E27</f>
        <v>4.3899999999999997</v>
      </c>
      <c r="F37" s="479">
        <f>'Data Sheet'!F27</f>
        <v>2.67</v>
      </c>
      <c r="G37" s="479">
        <f>'Data Sheet'!G27</f>
        <v>3.38</v>
      </c>
      <c r="H37" s="479">
        <f>'Data Sheet'!H27</f>
        <v>5.14</v>
      </c>
      <c r="I37" s="479">
        <f>'Data Sheet'!I27</f>
        <v>4.79</v>
      </c>
      <c r="J37" s="479">
        <f>'Data Sheet'!J27</f>
        <v>4.91</v>
      </c>
      <c r="K37" s="480">
        <f>'Data Sheet'!K27</f>
        <v>4.38</v>
      </c>
    </row>
    <row r="38" spans="1:11" x14ac:dyDescent="0.25">
      <c r="A38" s="469" t="s">
        <v>392</v>
      </c>
      <c r="B38" s="479">
        <f>'Data Sheet'!B26</f>
        <v>2.9</v>
      </c>
      <c r="C38" s="479">
        <f>'Data Sheet'!C26</f>
        <v>4</v>
      </c>
      <c r="D38" s="479">
        <f>'Data Sheet'!D26</f>
        <v>4.9800000000000004</v>
      </c>
      <c r="E38" s="479">
        <f>'Data Sheet'!E26</f>
        <v>5.54</v>
      </c>
      <c r="F38" s="479">
        <f>'Data Sheet'!F26</f>
        <v>8.8000000000000007</v>
      </c>
      <c r="G38" s="479">
        <f>'Data Sheet'!G26</f>
        <v>10.23</v>
      </c>
      <c r="H38" s="479">
        <f>'Data Sheet'!H26</f>
        <v>13.69</v>
      </c>
      <c r="I38" s="479">
        <f>'Data Sheet'!I26</f>
        <v>23.76</v>
      </c>
      <c r="J38" s="479">
        <f>'Data Sheet'!J26</f>
        <v>35.840000000000003</v>
      </c>
      <c r="K38" s="480">
        <f>'Data Sheet'!K26</f>
        <v>37.71</v>
      </c>
    </row>
    <row r="39" spans="1:11" ht="15.75" thickBot="1" x14ac:dyDescent="0.3">
      <c r="A39" s="472" t="s">
        <v>393</v>
      </c>
      <c r="B39" s="481">
        <f>'Data Sheet'!B24</f>
        <v>-4.51</v>
      </c>
      <c r="C39" s="481">
        <f>'Data Sheet'!C24</f>
        <v>-3.77</v>
      </c>
      <c r="D39" s="481">
        <f>'Data Sheet'!D24</f>
        <v>-19.03</v>
      </c>
      <c r="E39" s="481">
        <f>'Data Sheet'!E24</f>
        <v>-36.35</v>
      </c>
      <c r="F39" s="481">
        <f>'Data Sheet'!F24</f>
        <v>-69.400000000000006</v>
      </c>
      <c r="G39" s="481">
        <f>'Data Sheet'!G24</f>
        <v>-75.73</v>
      </c>
      <c r="H39" s="481">
        <f>'Data Sheet'!H24</f>
        <v>8.3000000000000007</v>
      </c>
      <c r="I39" s="481">
        <f>'Data Sheet'!I24</f>
        <v>11.5</v>
      </c>
      <c r="J39" s="481">
        <f>'Data Sheet'!J24</f>
        <v>18.86</v>
      </c>
      <c r="K39" s="482">
        <f>'Data Sheet'!K24</f>
        <v>24.94</v>
      </c>
    </row>
    <row r="40" spans="1:11" x14ac:dyDescent="0.25">
      <c r="H40" s="2"/>
    </row>
    <row r="58" spans="1:16" s="99" customFormat="1" x14ac:dyDescent="0.25"/>
    <row r="59" spans="1:16" s="99" customFormat="1" ht="18.75" x14ac:dyDescent="0.3">
      <c r="A59" s="992"/>
      <c r="B59" s="992"/>
      <c r="C59" s="992"/>
      <c r="D59" s="992"/>
      <c r="E59" s="992"/>
      <c r="F59" s="992"/>
      <c r="G59" s="992"/>
      <c r="H59" s="992"/>
      <c r="I59" s="992"/>
      <c r="J59" s="992"/>
      <c r="K59" s="992"/>
    </row>
    <row r="60" spans="1:16" s="99" customFormat="1" x14ac:dyDescent="0.25">
      <c r="A60" s="485"/>
      <c r="B60" s="212"/>
      <c r="C60" s="212"/>
      <c r="D60" s="212"/>
      <c r="E60" s="212"/>
      <c r="F60" s="212"/>
      <c r="G60" s="212"/>
      <c r="H60" s="212"/>
      <c r="I60" s="212"/>
      <c r="J60" s="212"/>
      <c r="K60" s="212"/>
    </row>
    <row r="61" spans="1:16" s="99" customFormat="1" x14ac:dyDescent="0.25">
      <c r="B61" s="100"/>
      <c r="C61" s="100"/>
      <c r="D61" s="100"/>
      <c r="E61" s="100"/>
      <c r="F61" s="100"/>
      <c r="N61" s="212"/>
      <c r="O61" s="212"/>
      <c r="P61" s="212"/>
    </row>
    <row r="62" spans="1:16" s="99" customFormat="1" x14ac:dyDescent="0.25">
      <c r="B62" s="192"/>
      <c r="C62" s="192"/>
      <c r="D62" s="192"/>
      <c r="E62" s="192"/>
      <c r="F62" s="192"/>
      <c r="G62" s="192"/>
      <c r="H62" s="192"/>
      <c r="I62" s="192"/>
      <c r="J62" s="192"/>
      <c r="K62" s="192"/>
      <c r="N62" s="462"/>
      <c r="O62" s="462"/>
      <c r="P62" s="462"/>
    </row>
    <row r="63" spans="1:16" s="99" customFormat="1" x14ac:dyDescent="0.25">
      <c r="B63" s="192"/>
      <c r="C63" s="192"/>
      <c r="D63" s="192"/>
      <c r="E63" s="192"/>
      <c r="F63" s="192"/>
      <c r="G63" s="192"/>
      <c r="H63" s="192"/>
      <c r="I63" s="192"/>
      <c r="J63" s="192"/>
      <c r="K63" s="192"/>
      <c r="N63" s="462"/>
      <c r="O63" s="462"/>
      <c r="P63" s="462"/>
    </row>
    <row r="64" spans="1:16" s="99" customFormat="1" x14ac:dyDescent="0.25">
      <c r="B64" s="192"/>
      <c r="C64" s="192"/>
      <c r="D64" s="192"/>
      <c r="E64" s="192"/>
      <c r="F64" s="192"/>
      <c r="G64" s="192"/>
      <c r="H64" s="192"/>
      <c r="I64" s="192"/>
      <c r="J64" s="192"/>
      <c r="K64" s="192"/>
      <c r="N64" s="462"/>
      <c r="O64" s="462"/>
      <c r="P64" s="462"/>
    </row>
    <row r="65" spans="2:16" s="99" customFormat="1" x14ac:dyDescent="0.25">
      <c r="B65" s="192"/>
      <c r="C65" s="192"/>
      <c r="D65" s="192"/>
      <c r="E65" s="192"/>
      <c r="F65" s="192"/>
      <c r="G65" s="192"/>
      <c r="H65" s="192"/>
      <c r="I65" s="192"/>
      <c r="J65" s="192"/>
      <c r="K65" s="192"/>
      <c r="N65" s="462"/>
      <c r="O65" s="462"/>
      <c r="P65" s="462"/>
    </row>
    <row r="66" spans="2:16" s="99" customFormat="1" x14ac:dyDescent="0.25">
      <c r="B66" s="192"/>
      <c r="C66" s="192"/>
      <c r="D66" s="192"/>
      <c r="E66" s="192"/>
      <c r="F66" s="192"/>
      <c r="G66" s="192"/>
      <c r="H66" s="192"/>
      <c r="I66" s="192"/>
      <c r="J66" s="192"/>
      <c r="K66" s="192"/>
      <c r="N66" s="462"/>
      <c r="O66" s="462"/>
      <c r="P66" s="462"/>
    </row>
    <row r="67" spans="2:16" s="99" customFormat="1" x14ac:dyDescent="0.25">
      <c r="B67" s="192"/>
      <c r="C67" s="192"/>
      <c r="D67" s="192"/>
      <c r="E67" s="192"/>
      <c r="F67" s="192"/>
      <c r="G67" s="192"/>
      <c r="H67" s="192"/>
      <c r="I67" s="192"/>
      <c r="J67" s="192"/>
      <c r="K67" s="192"/>
      <c r="N67" s="100"/>
      <c r="O67" s="462"/>
      <c r="P67" s="462"/>
    </row>
    <row r="68" spans="2:16" s="99" customFormat="1" x14ac:dyDescent="0.25">
      <c r="B68" s="192"/>
      <c r="C68" s="192"/>
      <c r="D68" s="192"/>
      <c r="E68" s="192"/>
      <c r="F68" s="192"/>
      <c r="G68" s="192"/>
      <c r="H68" s="192"/>
      <c r="I68" s="192"/>
      <c r="J68" s="192"/>
      <c r="K68" s="192"/>
      <c r="N68" s="462"/>
      <c r="O68" s="462"/>
      <c r="P68" s="462"/>
    </row>
    <row r="69" spans="2:16" s="99" customFormat="1" x14ac:dyDescent="0.25">
      <c r="B69" s="192"/>
      <c r="C69" s="192"/>
      <c r="D69" s="192"/>
      <c r="E69" s="192"/>
      <c r="F69" s="192"/>
      <c r="G69" s="192"/>
      <c r="H69" s="192"/>
      <c r="I69" s="192"/>
      <c r="J69" s="192"/>
      <c r="K69" s="192"/>
      <c r="N69" s="100"/>
      <c r="O69" s="462"/>
      <c r="P69" s="462"/>
    </row>
    <row r="70" spans="2:16" s="99" customFormat="1" x14ac:dyDescent="0.25">
      <c r="B70" s="192"/>
      <c r="C70" s="192"/>
      <c r="D70" s="192"/>
      <c r="E70" s="192"/>
      <c r="F70" s="192"/>
      <c r="G70" s="192"/>
      <c r="H70" s="192"/>
      <c r="I70" s="192"/>
      <c r="J70" s="192"/>
      <c r="K70" s="192"/>
      <c r="N70" s="462"/>
      <c r="O70" s="462"/>
      <c r="P70" s="462"/>
    </row>
    <row r="71" spans="2:16" s="99" customFormat="1" x14ac:dyDescent="0.25">
      <c r="B71" s="192"/>
      <c r="C71" s="192"/>
      <c r="D71" s="192"/>
      <c r="E71" s="192"/>
      <c r="F71" s="192"/>
      <c r="G71" s="192"/>
      <c r="H71" s="192"/>
      <c r="I71" s="192"/>
      <c r="J71" s="192"/>
      <c r="K71" s="192"/>
      <c r="N71" s="100"/>
      <c r="O71" s="462"/>
      <c r="P71" s="462"/>
    </row>
    <row r="72" spans="2:16" s="99" customFormat="1" x14ac:dyDescent="0.25">
      <c r="B72" s="192"/>
      <c r="C72" s="192"/>
      <c r="D72" s="192"/>
      <c r="E72" s="192"/>
      <c r="F72" s="192"/>
      <c r="G72" s="192"/>
      <c r="H72" s="192"/>
      <c r="I72" s="192"/>
      <c r="J72" s="192"/>
      <c r="K72" s="192"/>
      <c r="N72" s="462"/>
      <c r="O72" s="462"/>
      <c r="P72" s="462"/>
    </row>
    <row r="73" spans="2:16" s="99" customFormat="1" x14ac:dyDescent="0.25">
      <c r="B73" s="192"/>
      <c r="C73" s="192"/>
      <c r="D73" s="192"/>
      <c r="E73" s="192"/>
      <c r="F73" s="192"/>
      <c r="G73" s="192"/>
      <c r="H73" s="192"/>
      <c r="I73" s="192"/>
      <c r="J73" s="192"/>
      <c r="K73" s="192"/>
      <c r="N73" s="100"/>
      <c r="O73" s="462"/>
      <c r="P73" s="462"/>
    </row>
    <row r="74" spans="2:16" s="99" customFormat="1" x14ac:dyDescent="0.25">
      <c r="B74" s="192"/>
      <c r="C74" s="192"/>
      <c r="D74" s="192"/>
      <c r="E74" s="192"/>
      <c r="F74" s="192"/>
      <c r="G74" s="192"/>
      <c r="H74" s="192"/>
      <c r="I74" s="192"/>
      <c r="J74" s="192"/>
      <c r="K74" s="192"/>
      <c r="N74" s="462"/>
      <c r="O74" s="462"/>
      <c r="P74" s="462"/>
    </row>
    <row r="75" spans="2:16" s="99" customFormat="1" x14ac:dyDescent="0.25">
      <c r="B75" s="192"/>
      <c r="C75" s="192"/>
      <c r="D75" s="192"/>
      <c r="E75" s="192"/>
      <c r="F75" s="192"/>
      <c r="G75" s="192"/>
      <c r="H75" s="192"/>
      <c r="I75" s="192"/>
      <c r="J75" s="192"/>
      <c r="K75" s="192"/>
      <c r="N75" s="100"/>
      <c r="O75" s="462"/>
      <c r="P75" s="462"/>
    </row>
    <row r="76" spans="2:16" s="99" customFormat="1" x14ac:dyDescent="0.25">
      <c r="B76" s="192"/>
      <c r="C76" s="192"/>
      <c r="D76" s="192"/>
      <c r="E76" s="192"/>
      <c r="F76" s="192"/>
      <c r="G76" s="192"/>
      <c r="H76" s="192"/>
      <c r="I76" s="192"/>
      <c r="J76" s="192"/>
      <c r="K76" s="192"/>
      <c r="N76" s="462"/>
      <c r="O76" s="462"/>
      <c r="P76" s="462"/>
    </row>
    <row r="77" spans="2:16" s="99" customFormat="1" x14ac:dyDescent="0.25">
      <c r="N77" s="462"/>
      <c r="O77" s="462"/>
      <c r="P77" s="462"/>
    </row>
    <row r="78" spans="2:16" x14ac:dyDescent="0.25">
      <c r="H78" s="2"/>
      <c r="N78" s="462"/>
      <c r="O78" s="462"/>
      <c r="P78" s="462"/>
    </row>
    <row r="79" spans="2:16" x14ac:dyDescent="0.25">
      <c r="H79" s="2"/>
      <c r="N79" s="462"/>
      <c r="O79" s="462"/>
      <c r="P79" s="462"/>
    </row>
    <row r="80" spans="2:16" x14ac:dyDescent="0.25">
      <c r="H80" s="2"/>
      <c r="N80" s="462"/>
      <c r="O80" s="462"/>
      <c r="P80" s="462"/>
    </row>
    <row r="81" spans="8:16" x14ac:dyDescent="0.25">
      <c r="H81" s="2"/>
      <c r="N81" s="462"/>
      <c r="O81" s="462"/>
      <c r="P81" s="462"/>
    </row>
  </sheetData>
  <mergeCells count="6">
    <mergeCell ref="A28:K28"/>
    <mergeCell ref="N1:X1"/>
    <mergeCell ref="A1:L1"/>
    <mergeCell ref="A59:K59"/>
    <mergeCell ref="N19:P20"/>
    <mergeCell ref="W19:AA19"/>
  </mergeCells>
  <conditionalFormatting sqref="C4:K4">
    <cfRule type="expression" dxfId="239" priority="57" stopIfTrue="1">
      <formula>C4&lt;0%</formula>
    </cfRule>
    <cfRule type="expression" dxfId="238" priority="58" stopIfTrue="1">
      <formula>C4&gt;0%</formula>
    </cfRule>
  </conditionalFormatting>
  <conditionalFormatting sqref="C6:K6">
    <cfRule type="expression" dxfId="237" priority="51">
      <formula>C6&lt;B6</formula>
    </cfRule>
    <cfRule type="expression" dxfId="236" priority="52">
      <formula>C6&gt;B6</formula>
    </cfRule>
  </conditionalFormatting>
  <conditionalFormatting sqref="C10:L10">
    <cfRule type="expression" dxfId="235" priority="49">
      <formula>C10&lt;B10</formula>
    </cfRule>
    <cfRule type="expression" dxfId="234" priority="50">
      <formula>C10&gt;B10</formula>
    </cfRule>
  </conditionalFormatting>
  <conditionalFormatting sqref="C13:L13">
    <cfRule type="expression" dxfId="233" priority="45">
      <formula>C13&lt;B13</formula>
    </cfRule>
    <cfRule type="expression" dxfId="232" priority="46">
      <formula>C13&gt;B13</formula>
    </cfRule>
  </conditionalFormatting>
  <conditionalFormatting sqref="C16:L16">
    <cfRule type="expression" dxfId="231" priority="43">
      <formula>C16&lt;B16</formula>
    </cfRule>
    <cfRule type="expression" dxfId="230" priority="44">
      <formula>C16&gt;B16</formula>
    </cfRule>
  </conditionalFormatting>
  <conditionalFormatting sqref="C18:L18">
    <cfRule type="expression" dxfId="229" priority="41">
      <formula>C18&lt;B18</formula>
    </cfRule>
    <cfRule type="expression" dxfId="228" priority="42">
      <formula>C18&gt;B18</formula>
    </cfRule>
  </conditionalFormatting>
  <conditionalFormatting sqref="C21:L21">
    <cfRule type="expression" dxfId="227" priority="39">
      <formula>C21&lt;B21</formula>
    </cfRule>
    <cfRule type="expression" dxfId="226" priority="40">
      <formula>C21&gt;B21</formula>
    </cfRule>
  </conditionalFormatting>
  <conditionalFormatting sqref="C23:K23">
    <cfRule type="expression" dxfId="225" priority="37">
      <formula>C23&lt;B23</formula>
    </cfRule>
    <cfRule type="expression" dxfId="224" priority="38">
      <formula>C23&gt;B23</formula>
    </cfRule>
  </conditionalFormatting>
  <conditionalFormatting sqref="B25">
    <cfRule type="expression" dxfId="223" priority="35">
      <formula>$B$25&lt;1</formula>
    </cfRule>
    <cfRule type="expression" dxfId="222" priority="36">
      <formula>$B$25&gt;=1</formula>
    </cfRule>
  </conditionalFormatting>
  <conditionalFormatting sqref="C14:K14">
    <cfRule type="expression" dxfId="221" priority="33">
      <formula>C14&lt;0%</formula>
    </cfRule>
  </conditionalFormatting>
  <conditionalFormatting sqref="C17:K17">
    <cfRule type="expression" dxfId="220" priority="31">
      <formula>C17&lt;0%</formula>
    </cfRule>
  </conditionalFormatting>
  <conditionalFormatting sqref="C19:K19">
    <cfRule type="expression" dxfId="219" priority="29">
      <formula>C19&lt;0%</formula>
    </cfRule>
  </conditionalFormatting>
  <conditionalFormatting sqref="C20:L20">
    <cfRule type="expression" dxfId="218" priority="27">
      <formula>C20&lt;B20</formula>
    </cfRule>
  </conditionalFormatting>
  <conditionalFormatting sqref="P6">
    <cfRule type="expression" dxfId="217" priority="24">
      <formula>P6&lt;O6</formula>
    </cfRule>
    <cfRule type="expression" dxfId="216" priority="25">
      <formula>P6&gt;=O6</formula>
    </cfRule>
    <cfRule type="expression" dxfId="215" priority="26">
      <formula>P6&gt;=6</formula>
    </cfRule>
  </conditionalFormatting>
  <conditionalFormatting sqref="Q6:X6">
    <cfRule type="expression" dxfId="214" priority="21">
      <formula>Q6&lt;P6</formula>
    </cfRule>
    <cfRule type="expression" dxfId="213" priority="22">
      <formula>Q6&gt;=P6</formula>
    </cfRule>
    <cfRule type="expression" dxfId="212" priority="23">
      <formula>Q6&gt;=6</formula>
    </cfRule>
  </conditionalFormatting>
  <conditionalFormatting sqref="P10:X10">
    <cfRule type="expression" dxfId="211" priority="18">
      <formula>P10&lt;O10</formula>
    </cfRule>
    <cfRule type="expression" dxfId="210" priority="19">
      <formula>P10&gt;=O10</formula>
    </cfRule>
    <cfRule type="expression" dxfId="209" priority="20">
      <formula>P10&gt;=6</formula>
    </cfRule>
  </conditionalFormatting>
  <conditionalFormatting sqref="P13:X13">
    <cfRule type="expression" dxfId="208" priority="15">
      <formula>P13&lt;O13</formula>
    </cfRule>
    <cfRule type="expression" dxfId="207" priority="16">
      <formula>P13&gt;=O13</formula>
    </cfRule>
    <cfRule type="expression" dxfId="206" priority="17">
      <formula>P13&gt;=6</formula>
    </cfRule>
  </conditionalFormatting>
  <conditionalFormatting sqref="P15:X15">
    <cfRule type="expression" dxfId="205" priority="12">
      <formula>P15&lt;O15</formula>
    </cfRule>
    <cfRule type="expression" dxfId="204" priority="13">
      <formula>P15&gt;=O15</formula>
    </cfRule>
    <cfRule type="expression" dxfId="203" priority="14">
      <formula>P15&gt;=6</formula>
    </cfRule>
  </conditionalFormatting>
  <conditionalFormatting sqref="O16">
    <cfRule type="expression" dxfId="202" priority="8">
      <formula>O16&lt;25%</formula>
    </cfRule>
    <cfRule type="expression" dxfId="201" priority="11">
      <formula>O16&gt;=25%</formula>
    </cfRule>
  </conditionalFormatting>
  <conditionalFormatting sqref="P16:X16">
    <cfRule type="expression" dxfId="200" priority="6">
      <formula>P16&lt;25%</formula>
    </cfRule>
    <cfRule type="expression" dxfId="199" priority="7">
      <formula>P16&gt;=25%</formula>
    </cfRule>
  </conditionalFormatting>
  <conditionalFormatting sqref="P8:X8">
    <cfRule type="expression" dxfId="198" priority="3">
      <formula>P8&lt;O8</formula>
    </cfRule>
    <cfRule type="expression" dxfId="197" priority="4">
      <formula>P8&gt;=O8</formula>
    </cfRule>
    <cfRule type="expression" dxfId="196" priority="5">
      <formula>P8&gt;=6</formula>
    </cfRule>
  </conditionalFormatting>
  <hyperlinks>
    <hyperlink ref="N19:P20" r:id="rId1" display="click here for the explanation"/>
    <hyperlink ref="A22" location="DCF!C32" display="DIVIDEND PAYOUT RATIO"/>
    <hyperlink ref="N4" location="'Income statement'!AB4" display="SALES"/>
    <hyperlink ref="AB4" location="'Income statement'!A1" display="MAX"/>
    <hyperlink ref="W19:AA19" r:id="rId2" display="https://investordiary.in/"/>
  </hyperlinks>
  <pageMargins left="0.7" right="0.7" top="0.75" bottom="0.75" header="0.3" footer="0.3"/>
  <pageSetup orientation="landscape"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14</vt:i4>
      </vt:variant>
    </vt:vector>
  </HeadingPairs>
  <TitlesOfParts>
    <vt:vector size="36" baseType="lpstr">
      <vt:lpstr>INSTRUCTIONS</vt:lpstr>
      <vt:lpstr>Stock Ideas</vt:lpstr>
      <vt:lpstr>summary</vt:lpstr>
      <vt:lpstr>2-minute test</vt:lpstr>
      <vt:lpstr>Balance sheet Flow chart</vt:lpstr>
      <vt:lpstr>Balance Sheet</vt:lpstr>
      <vt:lpstr>balance sheet CFA</vt:lpstr>
      <vt:lpstr>Financial Health</vt:lpstr>
      <vt:lpstr>Income statement</vt:lpstr>
      <vt:lpstr>Income statement CFA</vt:lpstr>
      <vt:lpstr>Growth</vt:lpstr>
      <vt:lpstr>Cash Flow</vt:lpstr>
      <vt:lpstr>Profitability</vt:lpstr>
      <vt:lpstr>Relative valuation</vt:lpstr>
      <vt:lpstr>DCF</vt:lpstr>
      <vt:lpstr>Dhandho </vt:lpstr>
      <vt:lpstr>Total Returns</vt:lpstr>
      <vt:lpstr>Intrinsic Values</vt:lpstr>
      <vt:lpstr>Quarters</vt:lpstr>
      <vt:lpstr>post analysis checklist</vt:lpstr>
      <vt:lpstr>Data Sheet</vt:lpstr>
      <vt:lpstr>Customization</vt:lpstr>
      <vt:lpstr>cash</vt:lpstr>
      <vt:lpstr>cashflow</vt:lpstr>
      <vt:lpstr>COMPANY</vt:lpstr>
      <vt:lpstr>Consistent</vt:lpstr>
      <vt:lpstr>CYCLICAL</vt:lpstr>
      <vt:lpstr>DEBTLEVEL</vt:lpstr>
      <vt:lpstr>GREAT</vt:lpstr>
      <vt:lpstr>GROWTHLIST</vt:lpstr>
      <vt:lpstr>GROWTHRATE</vt:lpstr>
      <vt:lpstr>LOT</vt:lpstr>
      <vt:lpstr>pass</vt:lpstr>
      <vt:lpstr>STABILITY</vt:lpstr>
      <vt:lpstr>UNDERSTAND</vt:lpstr>
      <vt:lpstr>UPDATE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 Diary Stock Analysis Excel</dc:title>
  <dc:creator>Vishnu Deekonda</dc:creator>
  <cp:keywords>The Right Day To Start Is Today</cp:keywords>
  <cp:lastModifiedBy>Vishnu</cp:lastModifiedBy>
  <cp:lastPrinted>2012-12-06T18:14:13Z</cp:lastPrinted>
  <dcterms:created xsi:type="dcterms:W3CDTF">2012-08-17T09:55:37Z</dcterms:created>
  <dcterms:modified xsi:type="dcterms:W3CDTF">2021-09-07T08:55:41Z</dcterms:modified>
  <cp:category>Fundamental Analysis</cp:category>
</cp:coreProperties>
</file>